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600" yWindow="585" windowWidth="2400" windowHeight="4530" tabRatio="733" activeTab="1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Hoja1" sheetId="10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GASTOS!$A$1:$D$389</definedName>
    <definedName name="_xlnm.Print_Area" localSheetId="0">INGRESOS!$A$9:$G$71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44525"/>
</workbook>
</file>

<file path=xl/calcChain.xml><?xml version="1.0" encoding="utf-8"?>
<calcChain xmlns="http://schemas.openxmlformats.org/spreadsheetml/2006/main">
  <c r="D159" i="2" l="1"/>
  <c r="D153" i="2"/>
  <c r="C162" i="2"/>
  <c r="C161" i="2" s="1"/>
  <c r="C156" i="2"/>
  <c r="C155" i="2" s="1"/>
  <c r="C248" i="2" l="1"/>
  <c r="C351" i="2"/>
  <c r="C323" i="2" l="1"/>
  <c r="C319" i="2"/>
  <c r="C308" i="2"/>
  <c r="C174" i="2"/>
  <c r="C194" i="2"/>
  <c r="C204" i="2"/>
  <c r="C212" i="2"/>
  <c r="C340" i="2"/>
  <c r="C339" i="2" s="1"/>
  <c r="K31" i="4"/>
  <c r="K30" i="4" s="1"/>
  <c r="K29" i="4" l="1"/>
  <c r="K58" i="4" s="1"/>
  <c r="C100" i="2" l="1"/>
  <c r="C370" i="2" l="1"/>
  <c r="C117" i="2"/>
  <c r="C305" i="2"/>
  <c r="C182" i="2" l="1"/>
  <c r="C181" i="2" s="1"/>
  <c r="D368" i="2" l="1"/>
  <c r="C243" i="2"/>
  <c r="C242" i="2"/>
  <c r="C239" i="2"/>
  <c r="C238" i="2" s="1"/>
  <c r="C263" i="2"/>
  <c r="C260" i="2"/>
  <c r="C256" i="2"/>
  <c r="C255" i="2" s="1"/>
  <c r="C259" i="2" l="1"/>
  <c r="D254" i="2" s="1"/>
  <c r="D237" i="2"/>
  <c r="C365" i="2"/>
  <c r="D363" i="2" s="1"/>
  <c r="C364" i="2"/>
  <c r="D246" i="2"/>
  <c r="C283" i="2" l="1"/>
  <c r="D272" i="2"/>
  <c r="C269" i="2" l="1"/>
  <c r="C268" i="2" s="1"/>
  <c r="D266" i="2" s="1"/>
  <c r="C219" i="2"/>
  <c r="C218" i="2" s="1"/>
  <c r="D216" i="2" s="1"/>
  <c r="H12" i="5" l="1"/>
  <c r="H11" i="5"/>
  <c r="C388" i="2" l="1"/>
  <c r="C387" i="2" s="1"/>
  <c r="D386" i="2" s="1"/>
  <c r="C39" i="2"/>
  <c r="C18" i="7" l="1"/>
  <c r="C11" i="7"/>
  <c r="C19" i="7"/>
  <c r="C13" i="7"/>
  <c r="C20" i="7"/>
  <c r="C12" i="7"/>
  <c r="C67" i="2"/>
  <c r="C231" i="2"/>
  <c r="C279" i="2"/>
  <c r="D277" i="2" s="1"/>
  <c r="C282" i="2"/>
  <c r="C225" i="2"/>
  <c r="C224" i="2" s="1"/>
  <c r="C278" i="2" l="1"/>
  <c r="D222" i="2"/>
  <c r="C114" i="2"/>
  <c r="C97" i="2"/>
  <c r="C27" i="2"/>
  <c r="C22" i="2"/>
  <c r="C13" i="2"/>
  <c r="C10" i="2"/>
  <c r="C9" i="2" l="1"/>
  <c r="C316" i="2"/>
  <c r="C315" i="2" s="1"/>
  <c r="C377" i="2" l="1"/>
  <c r="C376" i="2" s="1"/>
  <c r="C312" i="2"/>
  <c r="C304" i="2" s="1"/>
  <c r="D302" i="2" s="1"/>
  <c r="C348" i="2"/>
  <c r="C185" i="2"/>
  <c r="D180" i="2" s="1"/>
  <c r="C138" i="2"/>
  <c r="C111" i="2"/>
  <c r="C110" i="2" s="1"/>
  <c r="C107" i="2"/>
  <c r="C104" i="2"/>
  <c r="C96" i="2" s="1"/>
  <c r="I11" i="5"/>
  <c r="D75" i="2" l="1"/>
  <c r="G12" i="10"/>
  <c r="G13" i="10" s="1"/>
  <c r="K45" i="4" l="1"/>
  <c r="C191" i="2"/>
  <c r="C190" i="2" s="1"/>
  <c r="D188" i="2" l="1"/>
  <c r="C58" i="7" l="1"/>
  <c r="C6" i="7" l="1"/>
  <c r="J39" i="4" l="1"/>
  <c r="J28" i="4"/>
  <c r="J25" i="4"/>
  <c r="C3" i="7" l="1"/>
  <c r="D29" i="7"/>
  <c r="F23" i="4"/>
  <c r="F22" i="4" s="1"/>
  <c r="G23" i="4"/>
  <c r="G22" i="4" s="1"/>
  <c r="H23" i="4"/>
  <c r="H22" i="4" s="1"/>
  <c r="F27" i="4"/>
  <c r="F26" i="4" s="1"/>
  <c r="G27" i="4"/>
  <c r="G26" i="4" s="1"/>
  <c r="H27" i="4"/>
  <c r="H26" i="4" s="1"/>
  <c r="F31" i="4"/>
  <c r="G31" i="4"/>
  <c r="G30" i="4" s="1"/>
  <c r="G29" i="4" s="1"/>
  <c r="H33" i="4"/>
  <c r="I27" i="4"/>
  <c r="I26" i="4" s="1"/>
  <c r="I33" i="4"/>
  <c r="I31" i="4" s="1"/>
  <c r="I30" i="4" s="1"/>
  <c r="I29" i="4" s="1"/>
  <c r="H31" i="4" l="1"/>
  <c r="J33" i="4"/>
  <c r="C53" i="7"/>
  <c r="C61" i="7" s="1"/>
  <c r="H30" i="4"/>
  <c r="H29" i="4" s="1"/>
  <c r="F30" i="4"/>
  <c r="F29" i="4" s="1"/>
  <c r="F58" i="4" s="1"/>
  <c r="J45" i="4"/>
  <c r="J44" i="4" s="1"/>
  <c r="J50" i="4"/>
  <c r="J49" i="4" s="1"/>
  <c r="K50" i="4"/>
  <c r="K49" i="4" s="1"/>
  <c r="J43" i="4" l="1"/>
  <c r="C292" i="2"/>
  <c r="C295" i="2"/>
  <c r="C298" i="2"/>
  <c r="C209" i="2"/>
  <c r="C203" i="2" l="1"/>
  <c r="D201" i="2" s="1"/>
  <c r="C294" i="2"/>
  <c r="C291" i="2"/>
  <c r="C7" i="7"/>
  <c r="K44" i="4"/>
  <c r="K43" i="4" s="1"/>
  <c r="C290" i="2" l="1"/>
  <c r="D289" i="2"/>
  <c r="C8" i="7"/>
  <c r="E68" i="7"/>
  <c r="D13" i="5" l="1"/>
  <c r="H13" i="5" s="1"/>
  <c r="C345" i="2" l="1"/>
  <c r="C149" i="2"/>
  <c r="C344" i="2" l="1"/>
  <c r="D337" i="2" s="1"/>
  <c r="C64" i="2"/>
  <c r="C62" i="2" s="1"/>
  <c r="C61" i="2" s="1"/>
  <c r="C40" i="2"/>
  <c r="C173" i="2" l="1"/>
  <c r="D172" i="2" s="1"/>
  <c r="G11" i="5"/>
  <c r="D14" i="5"/>
  <c r="G21" i="5"/>
  <c r="E21" i="5"/>
  <c r="I21" i="5"/>
  <c r="L21" i="5"/>
  <c r="F21" i="5"/>
  <c r="C21" i="7"/>
  <c r="D15" i="5" l="1"/>
  <c r="H15" i="5" s="1"/>
  <c r="H14" i="5"/>
  <c r="J21" i="5"/>
  <c r="E11" i="5"/>
  <c r="D101" i="4"/>
  <c r="E92" i="4"/>
  <c r="D92" i="4"/>
  <c r="J88" i="4"/>
  <c r="J87" i="4"/>
  <c r="C50" i="4"/>
  <c r="C45" i="4"/>
  <c r="E43" i="4"/>
  <c r="D43" i="4"/>
  <c r="C43" i="4"/>
  <c r="J31" i="4"/>
  <c r="K27" i="4"/>
  <c r="K26" i="4" s="1"/>
  <c r="C4" i="7" s="1"/>
  <c r="J27" i="4"/>
  <c r="J26" i="4" s="1"/>
  <c r="E27" i="4"/>
  <c r="D27" i="4"/>
  <c r="C27" i="4"/>
  <c r="E26" i="4"/>
  <c r="D26" i="4"/>
  <c r="C26" i="4"/>
  <c r="K23" i="4"/>
  <c r="K22" i="4" s="1"/>
  <c r="K6" i="4" s="1"/>
  <c r="E25" i="4"/>
  <c r="E22" i="4" s="1"/>
  <c r="D25" i="4"/>
  <c r="D22" i="4" s="1"/>
  <c r="C25" i="4"/>
  <c r="C22" i="4" s="1"/>
  <c r="J23" i="4"/>
  <c r="J22" i="4" s="1"/>
  <c r="I23" i="4"/>
  <c r="I22" i="4" s="1"/>
  <c r="E21" i="4"/>
  <c r="E20" i="4" s="1"/>
  <c r="E17" i="4" s="1"/>
  <c r="D21" i="4"/>
  <c r="D20" i="4" s="1"/>
  <c r="D17" i="4" s="1"/>
  <c r="C21" i="4"/>
  <c r="C20" i="4" s="1"/>
  <c r="C17" i="4" s="1"/>
  <c r="J20" i="4"/>
  <c r="J18" i="4"/>
  <c r="J13" i="4"/>
  <c r="J12" i="4" s="1"/>
  <c r="E13" i="4"/>
  <c r="E12" i="4" s="1"/>
  <c r="D13" i="4"/>
  <c r="D12" i="4" s="1"/>
  <c r="C13" i="4"/>
  <c r="C12" i="4" s="1"/>
  <c r="J9" i="4"/>
  <c r="J8" i="4" s="1"/>
  <c r="E9" i="4"/>
  <c r="E8" i="4" s="1"/>
  <c r="D9" i="4"/>
  <c r="D8" i="4" s="1"/>
  <c r="C9" i="4"/>
  <c r="C8" i="4" s="1"/>
  <c r="D10" i="7" l="1"/>
  <c r="G58" i="4"/>
  <c r="J17" i="4"/>
  <c r="H58" i="4"/>
  <c r="G7" i="4"/>
  <c r="C6" i="4"/>
  <c r="C58" i="4" s="1"/>
  <c r="D6" i="4"/>
  <c r="D58" i="4" s="1"/>
  <c r="H7" i="4"/>
  <c r="I7" i="4"/>
  <c r="I58" i="4"/>
  <c r="J6" i="4"/>
  <c r="J7" i="4"/>
  <c r="E6" i="4"/>
  <c r="E58" i="4" s="1"/>
  <c r="J82" i="4"/>
  <c r="J85" i="4"/>
  <c r="J30" i="4"/>
  <c r="J29" i="4" s="1"/>
  <c r="J80" i="4" l="1"/>
  <c r="J86" i="4"/>
  <c r="J58" i="4"/>
  <c r="J60" i="4" s="1"/>
  <c r="C5" i="7"/>
  <c r="C2" i="7" s="1"/>
  <c r="G81" i="7"/>
  <c r="H81" i="7" s="1"/>
  <c r="G74" i="7"/>
  <c r="H74" i="7" s="1"/>
  <c r="G73" i="7"/>
  <c r="H73" i="7" s="1"/>
  <c r="G72" i="7"/>
  <c r="H72" i="7" s="1"/>
  <c r="G71" i="7"/>
  <c r="H71" i="7" s="1"/>
  <c r="J90" i="4" l="1"/>
  <c r="J94" i="4" s="1"/>
  <c r="L80" i="4"/>
  <c r="G95" i="7"/>
  <c r="G89" i="7"/>
  <c r="H89" i="7" s="1"/>
  <c r="F69" i="7"/>
  <c r="F68" i="7"/>
  <c r="F82" i="7" s="1"/>
  <c r="E4" i="7" l="1"/>
  <c r="K90" i="4"/>
  <c r="K80" i="4"/>
  <c r="J91" i="4"/>
  <c r="G69" i="7"/>
  <c r="H69" i="7" s="1"/>
  <c r="G82" i="7"/>
  <c r="H82" i="7" s="1"/>
  <c r="G68" i="7"/>
  <c r="H68" i="7" s="1"/>
  <c r="E103" i="7"/>
  <c r="K94" i="4" l="1"/>
  <c r="K86" i="4"/>
  <c r="K91" i="4"/>
  <c r="G12" i="5" l="1"/>
  <c r="C383" i="2"/>
  <c r="C382" i="2" s="1"/>
  <c r="D381" i="2" l="1"/>
  <c r="G13" i="5"/>
  <c r="G14" i="5" s="1"/>
  <c r="G15" i="5" s="1"/>
  <c r="G16" i="5" s="1"/>
  <c r="D18" i="5" l="1"/>
  <c r="C32" i="2"/>
  <c r="C146" i="2" l="1"/>
  <c r="C142" i="2"/>
  <c r="G18" i="5"/>
  <c r="C137" i="2" l="1"/>
  <c r="D136" i="2"/>
  <c r="C42" i="2"/>
  <c r="C38" i="2"/>
  <c r="E45" i="5"/>
  <c r="G28" i="5" l="1"/>
  <c r="C22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I17" i="5"/>
  <c r="F17" i="5"/>
  <c r="P16" i="5"/>
  <c r="I16" i="5"/>
  <c r="F16" i="5"/>
  <c r="C16" i="7" s="1"/>
  <c r="E16" i="5"/>
  <c r="P15" i="5"/>
  <c r="I15" i="5"/>
  <c r="F15" i="5"/>
  <c r="E15" i="5"/>
  <c r="P14" i="5"/>
  <c r="I14" i="5"/>
  <c r="F14" i="5"/>
  <c r="E14" i="5"/>
  <c r="P13" i="5"/>
  <c r="I13" i="5"/>
  <c r="F13" i="5"/>
  <c r="E13" i="5"/>
  <c r="P12" i="5"/>
  <c r="I12" i="5"/>
  <c r="F12" i="5"/>
  <c r="E12" i="5"/>
  <c r="F11" i="5"/>
  <c r="M18" i="5"/>
  <c r="C25" i="7" l="1"/>
  <c r="J11" i="5"/>
  <c r="H18" i="5"/>
  <c r="L18" i="5"/>
  <c r="E18" i="5"/>
  <c r="I18" i="5"/>
  <c r="H28" i="5"/>
  <c r="C88" i="2"/>
  <c r="F18" i="5"/>
  <c r="C17" i="2"/>
  <c r="C82" i="2"/>
  <c r="F42" i="5"/>
  <c r="P18" i="5"/>
  <c r="L28" i="5"/>
  <c r="J42" i="5"/>
  <c r="J12" i="5"/>
  <c r="J13" i="5"/>
  <c r="J14" i="5"/>
  <c r="J15" i="5"/>
  <c r="J16" i="5"/>
  <c r="J17" i="5"/>
  <c r="E28" i="5"/>
  <c r="C26" i="7" l="1"/>
  <c r="C42" i="7" s="1"/>
  <c r="J18" i="5"/>
  <c r="L33" i="5"/>
  <c r="E63" i="7" l="1"/>
  <c r="C44" i="7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F28" i="5"/>
  <c r="C84" i="2"/>
  <c r="C81" i="2"/>
  <c r="O51" i="5" l="1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F9" i="2" l="1"/>
  <c r="C91" i="2"/>
  <c r="D80" i="2" s="1"/>
  <c r="C49" i="2"/>
  <c r="C71" i="2"/>
  <c r="C66" i="2" s="1"/>
  <c r="C46" i="2" l="1"/>
  <c r="C53" i="2"/>
  <c r="C26" i="2" s="1"/>
  <c r="D7" i="2" s="1"/>
  <c r="C43" i="7"/>
  <c r="C63" i="7"/>
  <c r="C97" i="7" l="1"/>
  <c r="C99" i="7" s="1"/>
  <c r="C107" i="7" s="1"/>
  <c r="C113" i="7" s="1"/>
  <c r="C101" i="7" l="1"/>
  <c r="C109" i="7" s="1"/>
  <c r="E109" i="7" s="1"/>
  <c r="D109" i="7" s="1"/>
  <c r="C100" i="7"/>
  <c r="C108" i="7" s="1"/>
  <c r="E108" i="7" s="1"/>
  <c r="D108" i="7" s="1"/>
  <c r="C98" i="7"/>
  <c r="C106" i="7" s="1"/>
  <c r="E106" i="7" s="1"/>
  <c r="D106" i="7" s="1"/>
  <c r="C102" i="7"/>
  <c r="C110" i="7" s="1"/>
  <c r="E110" i="7" s="1"/>
  <c r="D110" i="7" s="1"/>
  <c r="I73" i="7"/>
  <c r="I74" i="7"/>
  <c r="I72" i="7"/>
  <c r="I81" i="7"/>
  <c r="I71" i="7"/>
  <c r="C111" i="7" l="1"/>
  <c r="C103" i="7"/>
  <c r="E107" i="7"/>
  <c r="E111" i="7" s="1"/>
  <c r="D107" i="7" l="1"/>
  <c r="D111" i="7" s="1"/>
  <c r="B118" i="7" s="1"/>
  <c r="C167" i="2"/>
  <c r="D165" i="2" s="1"/>
  <c r="D390" i="2" s="1"/>
</calcChain>
</file>

<file path=xl/comments1.xml><?xml version="1.0" encoding="utf-8"?>
<comments xmlns="http://schemas.openxmlformats.org/spreadsheetml/2006/main">
  <authors>
    <author>TOSHIBA-A305</author>
    <author>Jaime</author>
  </authors>
  <commentList>
    <comment ref="K28" author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K33" authorId="1">
      <text>
        <r>
          <rPr>
            <sz val="9"/>
            <color indexed="81"/>
            <rFont val="Tahoma"/>
            <family val="2"/>
          </rPr>
          <t xml:space="preserve">tasa 2013,2014,2015
</t>
        </r>
      </text>
    </comment>
    <comment ref="K35" authorId="1">
      <text>
        <r>
          <rPr>
            <sz val="9"/>
            <color indexed="81"/>
            <rFont val="Tahoma"/>
            <family val="2"/>
          </rPr>
          <t xml:space="preserve">
PLAN INTERNACIONAL </t>
        </r>
      </text>
    </comment>
    <comment ref="K39" authorId="1">
      <text>
        <r>
          <rPr>
            <b/>
            <sz val="9"/>
            <color indexed="81"/>
            <rFont val="Tahoma"/>
            <family val="2"/>
          </rPr>
          <t>inversion MEF</t>
        </r>
      </text>
    </comment>
  </commentList>
</comments>
</file>

<file path=xl/comments2.xml><?xml version="1.0" encoding="utf-8"?>
<comments xmlns="http://schemas.openxmlformats.org/spreadsheetml/2006/main">
  <authors>
    <author>Jaime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 xml:space="preserve">REFORMADO EN DICIEMBRE DEL 2015 ULTIMA
</t>
        </r>
      </text>
    </comment>
    <comment ref="D375" authorId="0">
      <text>
        <r>
          <rPr>
            <b/>
            <sz val="9"/>
            <color indexed="81"/>
            <rFont val="Tahoma"/>
            <family val="2"/>
          </rPr>
          <t>13800 CONTRAPARTE BEDE 73.06.01.002 falta IVA</t>
        </r>
      </text>
    </comment>
  </commentList>
</comments>
</file>

<file path=xl/sharedStrings.xml><?xml version="1.0" encoding="utf-8"?>
<sst xmlns="http://schemas.openxmlformats.org/spreadsheetml/2006/main" count="844" uniqueCount="595">
  <si>
    <t>T O T A L:</t>
  </si>
  <si>
    <t>SALDO EN CAJA Y BANCOS</t>
  </si>
  <si>
    <t>SALDOS DISPONIBLES</t>
  </si>
  <si>
    <t>INGRESO DE FINANCIAMIENTO</t>
  </si>
  <si>
    <t>Del Sector Privado no Financiero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</si>
  <si>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</si>
  <si>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</si>
  <si>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</si>
  <si>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</si>
  <si>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</si>
  <si>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</si>
  <si>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</si>
  <si>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</si>
  <si>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</si>
  <si>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</si>
  <si>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</si>
  <si>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</si>
  <si>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</si>
  <si>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</si>
  <si>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</si>
  <si>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</si>
  <si>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</si>
  <si>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</si>
  <si>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PROGRAMA I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</si>
  <si>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</si>
  <si>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</si>
  <si>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</si>
  <si>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</si>
  <si>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</si>
  <si>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</si>
  <si>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</si>
  <si>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</si>
  <si>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</si>
  <si>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</si>
  <si>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</si>
  <si>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</si>
  <si>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</si>
  <si>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OTROS SERVICIOS COMUNALES</t>
  </si>
  <si>
    <t>SERVICIOS SOCIALES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</si>
  <si>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</si>
  <si>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</si>
  <si>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</si>
  <si>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</si>
  <si>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</si>
  <si>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</si>
  <si>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</si>
  <si>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FUNCION I</t>
  </si>
  <si>
    <t>SERVICIOS GENERALES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</si>
  <si>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</si>
  <si>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</si>
  <si>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</si>
  <si>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</si>
  <si>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</si>
  <si>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</si>
  <si>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</si>
  <si>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</si>
  <si>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</si>
  <si>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</si>
  <si>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</si>
  <si>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</si>
  <si>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</si>
  <si>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</si>
  <si>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</si>
  <si>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</si>
  <si>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</si>
  <si>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</si>
  <si>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</si>
  <si>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</si>
  <si>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</si>
  <si>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</si>
  <si>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</si>
  <si>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</si>
  <si>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</si>
  <si>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</si>
  <si>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</si>
  <si>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</si>
  <si>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</si>
  <si>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</si>
  <si>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</si>
  <si>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</si>
  <si>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</si>
  <si>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5.3.01.05</t>
  </si>
  <si>
    <t>Telecomunicaciones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</si>
  <si>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</si>
  <si>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</si>
  <si>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</si>
  <si>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</si>
  <si>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</si>
  <si>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</si>
  <si>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</si>
  <si>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</si>
  <si>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</si>
  <si>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</si>
  <si>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</si>
  <si>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</si>
  <si>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</si>
  <si>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5.3.06.03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</si>
  <si>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</si>
  <si>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</si>
  <si>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</si>
  <si>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</si>
  <si>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</si>
  <si>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</si>
  <si>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5.3.08.01</t>
  </si>
  <si>
    <t>Alimentos y Bebidas</t>
  </si>
  <si>
    <t>5.3.08.02</t>
  </si>
  <si>
    <t>Vestuario, Lencería y prendas de protección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</si>
  <si>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</si>
  <si>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</si>
  <si>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</si>
  <si>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</si>
  <si>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</si>
  <si>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</si>
  <si>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</si>
  <si>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</si>
  <si>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</si>
  <si>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</si>
  <si>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</si>
  <si>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FUNCION II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</si>
  <si>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</si>
  <si>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</si>
  <si>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</si>
  <si>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</si>
  <si>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</si>
  <si>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</si>
  <si>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</si>
  <si>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</si>
  <si>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</si>
  <si>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</si>
  <si>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</si>
  <si>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</si>
  <si>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</si>
  <si>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</si>
  <si>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</si>
  <si>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</si>
  <si>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</si>
  <si>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</si>
  <si>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</si>
  <si>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SERVICIOS COMUNALES</t>
  </si>
  <si>
    <t>PROGRAMA</t>
  </si>
  <si>
    <t>7.1.01.06</t>
  </si>
  <si>
    <t>Salarios Unificados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</si>
  <si>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</si>
  <si>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</si>
  <si>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</si>
  <si>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</si>
  <si>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</si>
  <si>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</si>
  <si>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</si>
  <si>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DIRECTORA FINANCIERA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</si>
  <si>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</si>
  <si>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</si>
  <si>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</si>
  <si>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</si>
  <si>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</si>
  <si>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</si>
  <si>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</si>
  <si>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</si>
  <si>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</si>
  <si>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</si>
  <si>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</si>
  <si>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</si>
  <si>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</si>
  <si>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</si>
  <si>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</si>
  <si>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</si>
  <si>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</si>
  <si>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</si>
  <si>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</si>
  <si>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</si>
  <si>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</si>
  <si>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</si>
  <si>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</si>
  <si>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</si>
  <si>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</si>
  <si>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</si>
  <si>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</si>
  <si>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</si>
  <si>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</si>
  <si>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</si>
  <si>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</si>
  <si>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</si>
  <si>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</si>
  <si>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</si>
  <si>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</si>
  <si>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</si>
  <si>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</si>
  <si>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</si>
  <si>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</si>
  <si>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</si>
  <si>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</si>
  <si>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</si>
  <si>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</si>
  <si>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</si>
  <si>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</si>
  <si>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</si>
  <si>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</si>
  <si>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De Entidades del Gobierno Autónomo Descentralizado</t>
  </si>
  <si>
    <t>2.8.02.04</t>
  </si>
  <si>
    <t>2.8.02</t>
  </si>
  <si>
    <t>DONACIONES DE CAPITAL</t>
  </si>
  <si>
    <t>1.8.06</t>
  </si>
  <si>
    <t>APORTES Y PARTICIPACIONES CORRIENTES DEL REGIMEN SECCIONAL AUTONOMO</t>
  </si>
  <si>
    <t>CAPITULO IV - TRANSFERENCIAS Y DONACIONES DE CAPITAL E INVERSION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</si>
  <si>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</si>
  <si>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</si>
  <si>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</si>
  <si>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</si>
  <si>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</si>
  <si>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</si>
  <si>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</si>
  <si>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</si>
  <si>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</si>
  <si>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</si>
  <si>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</si>
  <si>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</si>
  <si>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5.3.06.01</t>
  </si>
  <si>
    <t>Contratación de Estudios e Investigacios</t>
  </si>
  <si>
    <t>Consultoria, Asesoría e Investigación especializada</t>
  </si>
  <si>
    <t>5.3.07.02</t>
  </si>
  <si>
    <t>Arrendamiento y Licencias de Uso de Paq. Inf</t>
  </si>
  <si>
    <t>Manten y Reparacion de Equipos y sist inform.</t>
  </si>
  <si>
    <t>5.3.08.03</t>
  </si>
  <si>
    <t>Combustibles y Lubricantes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</si>
  <si>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</si>
  <si>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</si>
  <si>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</si>
  <si>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</si>
  <si>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</si>
  <si>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</si>
  <si>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</si>
  <si>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Gastos Permanentes</t>
  </si>
  <si>
    <t>SUBPROGRAMA V</t>
  </si>
  <si>
    <t>SUBPROGRAMA VII</t>
  </si>
  <si>
    <t>GRUPO I - GASTOS EN EL PERSONAL</t>
  </si>
  <si>
    <t>INGRESOS AÑO 2012</t>
  </si>
  <si>
    <t>GASTOS</t>
  </si>
  <si>
    <t>CODIGO</t>
  </si>
  <si>
    <t>Servicios Profesionales por contrato</t>
  </si>
  <si>
    <t>Eventos Públicos y oficiales</t>
  </si>
  <si>
    <t>7.3.02.06</t>
  </si>
  <si>
    <t>7.3.01</t>
  </si>
  <si>
    <t>7.3.01.05</t>
  </si>
  <si>
    <t>Enero</t>
  </si>
  <si>
    <t>mef</t>
  </si>
  <si>
    <t>mu</t>
  </si>
  <si>
    <t>ip</t>
  </si>
  <si>
    <t>Febrero</t>
  </si>
  <si>
    <t>Junio</t>
  </si>
  <si>
    <t>OTROS NO ESPECIFICADOS</t>
  </si>
  <si>
    <t>GOBIERNO PARROQUIAL DE PRINCIPAL</t>
  </si>
  <si>
    <t>TOTAL PRESUPUESTO GASTOS</t>
  </si>
  <si>
    <t>Telecomunicaciones (Intenet banda ancha acceso libre)</t>
  </si>
  <si>
    <t>De Fondos de Autogestion</t>
  </si>
  <si>
    <t>7.3.05.04.001</t>
  </si>
  <si>
    <t>PRESIDENTE DEL GOBIERNO PARROQUIAL</t>
  </si>
  <si>
    <t>1.8.01.04</t>
  </si>
  <si>
    <t>De Gobiernos Autónomos Descentralizados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</si>
  <si>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</si>
  <si>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</si>
  <si>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</si>
  <si>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</si>
  <si>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</si>
  <si>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</si>
  <si>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</si>
  <si>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</si>
  <si>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</si>
  <si>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</si>
  <si>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</si>
  <si>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</si>
  <si>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</si>
  <si>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</si>
  <si>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</si>
  <si>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</si>
  <si>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</si>
  <si>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</si>
  <si>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</si>
  <si>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</si>
  <si>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</si>
  <si>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</si>
  <si>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</si>
  <si>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</si>
  <si>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arriendo licencia informatico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</si>
  <si>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</si>
  <si>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</si>
  <si>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</si>
  <si>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</si>
  <si>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</si>
  <si>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</si>
  <si>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</si>
  <si>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</si>
  <si>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</si>
  <si>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Servicio de banda ancha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</si>
  <si>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</si>
  <si>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</si>
  <si>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</si>
  <si>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</si>
  <si>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</si>
  <si>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</si>
  <si>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</si>
  <si>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</si>
  <si>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TOTAL PARA GASTOS CORRIENTES</t>
  </si>
  <si>
    <t>deficit/superhabit</t>
  </si>
  <si>
    <t>OBRAS ESPECIFICAS SEGÚN EL PDOT</t>
  </si>
  <si>
    <t>TOTAL OBRAS ESPECIFICAS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</si>
  <si>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</si>
  <si>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</si>
  <si>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</si>
  <si>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</si>
  <si>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</si>
  <si>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</si>
  <si>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</si>
  <si>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</si>
  <si>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</si>
  <si>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Mantenimiento vial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</si>
  <si>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</si>
  <si>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</si>
  <si>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</si>
  <si>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</si>
  <si>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</si>
  <si>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</si>
  <si>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</si>
  <si>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</si>
  <si>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</si>
  <si>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</si>
  <si>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</si>
  <si>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</si>
  <si>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</si>
  <si>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</si>
  <si>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</si>
  <si>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</si>
  <si>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</si>
  <si>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</si>
  <si>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</si>
  <si>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</si>
  <si>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</si>
  <si>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</si>
  <si>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</si>
  <si>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</si>
  <si>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</si>
  <si>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</si>
  <si>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</si>
  <si>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</si>
  <si>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</si>
  <si>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</si>
  <si>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</si>
  <si>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</si>
  <si>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</si>
  <si>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</si>
  <si>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</si>
  <si>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</si>
  <si>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</si>
  <si>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 xml:space="preserve">10% para atención a grupos vulnerable </t>
  </si>
  <si>
    <t>7.1.07</t>
  </si>
  <si>
    <t xml:space="preserve">Indemnizaciones </t>
  </si>
  <si>
    <t>7.1.07.04</t>
  </si>
  <si>
    <t>7.3.02.18</t>
  </si>
  <si>
    <t>Publicidad y Propaganda en medios de comunicación masiva</t>
  </si>
  <si>
    <t>Publicidad y Propaganda en otros medios</t>
  </si>
  <si>
    <t>Publicidad en medios masivos</t>
  </si>
  <si>
    <t>publicidad en otros medios</t>
  </si>
  <si>
    <t>7.3.02.19</t>
  </si>
  <si>
    <t>Arrendamiento de bienes</t>
  </si>
  <si>
    <t>7.3.06.04</t>
  </si>
  <si>
    <t>Fiscalización e inspecciones técnicas</t>
  </si>
  <si>
    <t>Alimentos y bebidas Asambleas parroquiales</t>
  </si>
  <si>
    <t>Remuneraciones temporales</t>
  </si>
  <si>
    <t>Jornales</t>
  </si>
  <si>
    <t>7.3.04</t>
  </si>
  <si>
    <t>Maquinarías y equipos</t>
  </si>
  <si>
    <t>7.3.04.04</t>
  </si>
  <si>
    <t>Instalaciones, mantenimientos y reparaciones</t>
  </si>
  <si>
    <t>7.3.08.02</t>
  </si>
  <si>
    <t>7.3.08.03</t>
  </si>
  <si>
    <t>Combustibles y lubricantes</t>
  </si>
  <si>
    <t>Bienes de uso y consumo de inversión</t>
  </si>
  <si>
    <t>Gprinci-1953contrase</t>
  </si>
  <si>
    <t>Proyecto de fortalecimiento de la producción agropecuaria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</si>
  <si>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</si>
  <si>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</si>
  <si>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</si>
  <si>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</si>
  <si>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</si>
  <si>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3.7.01.01</t>
  </si>
  <si>
    <t>De Fondos del Gobierno Central</t>
  </si>
  <si>
    <t>3.8.01.08</t>
  </si>
  <si>
    <t>Cuentas por cobrar</t>
  </si>
  <si>
    <t>De Anticipos de Fondos por Devengar</t>
  </si>
  <si>
    <t>Proyecto de Reforestacion con el MAE</t>
  </si>
  <si>
    <t>Del Gobierno Central</t>
  </si>
  <si>
    <t>7.3.05.04.002</t>
  </si>
  <si>
    <t>Alquiler de maquinaria para mantenimiento vial Principal</t>
  </si>
  <si>
    <t>PROGRAMA II</t>
  </si>
  <si>
    <t>FUNCION III</t>
  </si>
  <si>
    <t>FUNCION IV</t>
  </si>
  <si>
    <t>INFRAESTRUCTURA Y EQUIPAMIENTOS</t>
  </si>
  <si>
    <t>Contrataciones de estudios contrataciones y servicios técnicos especializados</t>
  </si>
  <si>
    <t>7.3.08.11.01</t>
  </si>
  <si>
    <t>EQUIPAMIENTOS DEPORTIVOS</t>
  </si>
  <si>
    <t>AGUA POTABLE Y ALCANTARILLADO</t>
  </si>
  <si>
    <t>PROYECTO: Alcantarillado y letrinización en Celel y Principal</t>
  </si>
  <si>
    <t>7.3.08.11.03</t>
  </si>
  <si>
    <t>7.3.05.04.03</t>
  </si>
  <si>
    <t>PRODUCCION AGROPECUARIA</t>
  </si>
  <si>
    <t>Vestuario, lensería, prendas de protección, accesorios para uniformes militares y policiales; y carpas</t>
  </si>
  <si>
    <t>Serrucho de podar con sierra curva</t>
  </si>
  <si>
    <t>Sulfato de cobre</t>
  </si>
  <si>
    <t>Azufre umectable</t>
  </si>
  <si>
    <t>Abono folear</t>
  </si>
  <si>
    <t>7.3.08.14.01</t>
  </si>
  <si>
    <t>7.3.08.14.02</t>
  </si>
  <si>
    <t>7.3.08.14.07</t>
  </si>
  <si>
    <t>7.3.08.14.08</t>
  </si>
  <si>
    <t>7.3.08.14.10</t>
  </si>
  <si>
    <t>7.3.08.14.11</t>
  </si>
  <si>
    <t>7.3.08.14.16</t>
  </si>
  <si>
    <t>7.3.08.14.17</t>
  </si>
  <si>
    <t>Servicios profesionales por contrato</t>
  </si>
  <si>
    <t>FUNCION</t>
  </si>
  <si>
    <t>AGUA Y AMBIENTE</t>
  </si>
  <si>
    <t>Bienes biológicos no depreciables</t>
  </si>
  <si>
    <t>POLITICO INSTITUCIONAL</t>
  </si>
  <si>
    <t>7.3.06.01</t>
  </si>
  <si>
    <t>Contrataciones de estudios, investigaciones y servicios técnicos especializados</t>
  </si>
  <si>
    <t>Consultoría para actualización del Plan de desarrollo y Ordenamineto Territorial</t>
  </si>
  <si>
    <t>PROYECTO: Alimentación y bebidas para planificación parroquial y rendición de cuentas</t>
  </si>
  <si>
    <t xml:space="preserve">PROGRAMA </t>
  </si>
  <si>
    <t>PROMOCION TURISTICA</t>
  </si>
  <si>
    <t>PROYECTO: Eventos Culturales, sociales y deportivos</t>
  </si>
  <si>
    <t>Conservación y manejo sustentable del patrimonio natural y su biodiversidad</t>
  </si>
  <si>
    <t>PROYECTO: Plantaciones forestales con fines productivos o de protección</t>
  </si>
  <si>
    <t>Reactivación de la producción agropecuaria y artesanal</t>
  </si>
  <si>
    <t>Eventos sociales, culturales y deportivos por fiestas de la manzana y aniversario de parroquialización</t>
  </si>
  <si>
    <t>PROYECTO: Ampliación y mantenimineto de la red vial parroquial</t>
  </si>
  <si>
    <t>PROGRAMA: Mejoramiento y mantenimiento de la red vial parroquial</t>
  </si>
  <si>
    <t>PROYECTO: Limpieza y mantenimiento de la infraestructura parroquial y asesoría técnica.</t>
  </si>
  <si>
    <t>Transferencias y donaciones</t>
  </si>
  <si>
    <t>Otros Gastos</t>
  </si>
  <si>
    <t>Bienes y servicios de consumo</t>
  </si>
  <si>
    <t>Gastos en el personal</t>
  </si>
  <si>
    <t>PARCIALES</t>
  </si>
  <si>
    <t>ESTIMACION PROVISIONAL INGRESOS  AÑO 2015</t>
  </si>
  <si>
    <t>CALCULO DEFINITIVO DE INGRESOS 2015</t>
  </si>
  <si>
    <t>ESTIMACION DEFINITIVA DE INGRESOS AÑO 2015</t>
  </si>
  <si>
    <t>Conagopare  (3%)</t>
  </si>
  <si>
    <t>SALDO PARA PRESUPUESTO PARTICIPATIVO</t>
  </si>
  <si>
    <t>Mantenimiento vial rutinario</t>
  </si>
  <si>
    <t>Fumigadora de mochila a motor</t>
  </si>
  <si>
    <t>Sierra para podar plegable</t>
  </si>
  <si>
    <t>7.3.05.05</t>
  </si>
  <si>
    <t>Arrendamientos de bienes</t>
  </si>
  <si>
    <t>Materiales de construcción</t>
  </si>
  <si>
    <t>7.1.05.03.01</t>
  </si>
  <si>
    <t>7.1.05.03.03</t>
  </si>
  <si>
    <t>7.1.05.03.04</t>
  </si>
  <si>
    <t>PROYECTO: Reactivacion turistica de la parroquia Principal</t>
  </si>
  <si>
    <t>7.1.05.03.05</t>
  </si>
  <si>
    <t>Señalización de senderos (rótulos informativos lugares turísticos).</t>
  </si>
  <si>
    <t>3.7.01.99</t>
  </si>
  <si>
    <t xml:space="preserve">Saldo de Fondos GAD Municipal Alcantarillado </t>
  </si>
  <si>
    <t>Sra. Ximena Castro</t>
  </si>
  <si>
    <t>Fertilizantes orgánicos (elaboración)</t>
  </si>
  <si>
    <t>Plantas forestales</t>
  </si>
  <si>
    <t>Bienes biologicos no depreciables</t>
  </si>
  <si>
    <t>Plantas frutales</t>
  </si>
  <si>
    <t>Bienes de uso y consumo de inversion</t>
  </si>
  <si>
    <t>Fertilizantes organicos</t>
  </si>
  <si>
    <t>73.02</t>
  </si>
  <si>
    <t>73.02.36</t>
  </si>
  <si>
    <t>servicios en plantaciones forestales</t>
  </si>
  <si>
    <t>73.15.12</t>
  </si>
  <si>
    <t>2.8.01.01</t>
  </si>
  <si>
    <t>Mobiliario</t>
  </si>
  <si>
    <t>8.4.01</t>
  </si>
  <si>
    <t>8.4.01.03</t>
  </si>
  <si>
    <t>ACTIVOS DE LARGA DURACION</t>
  </si>
  <si>
    <t>Bienes muebles</t>
  </si>
  <si>
    <t>Contratacion de Estudios, Investigaciones y Servicios</t>
  </si>
  <si>
    <t>Servicios de Capacitacion</t>
  </si>
  <si>
    <t>Vehiculos</t>
  </si>
  <si>
    <t>Bienes de consumo y Consumo de Inversion</t>
  </si>
  <si>
    <t>Materiales didacticos</t>
  </si>
  <si>
    <t>7.3.08.99</t>
  </si>
  <si>
    <t>Otros bienes de uso y consumo de Inversion</t>
  </si>
  <si>
    <t>Del Gobierno central MAE</t>
  </si>
  <si>
    <t>PROYECTO: Servicios de asesoramiento tecnico al GAD parroquial de Principal</t>
  </si>
  <si>
    <t>73.02.36.001</t>
  </si>
  <si>
    <t>coronado</t>
  </si>
  <si>
    <t>Otros de uso y consumo Corriente</t>
  </si>
  <si>
    <t>5.8.0.1.04</t>
  </si>
  <si>
    <t>A Entidades del Gobierno Seccional</t>
  </si>
  <si>
    <t>7.3.05.04.003</t>
  </si>
  <si>
    <t>7.3.08.11.02</t>
  </si>
  <si>
    <t>Consultoría para elaboracion de diseños</t>
  </si>
  <si>
    <t>73.15</t>
  </si>
  <si>
    <t>PROYECTO: Adquisicion de cuyes para Asociacion Agropecuaria Paramos de Principal</t>
  </si>
  <si>
    <t>7.3.05.10</t>
  </si>
  <si>
    <t>7.3.0.5</t>
  </si>
  <si>
    <t>PROYECTO: Servicios de Pubicidad en Eventos y Acceso tecnológico</t>
  </si>
  <si>
    <t>PROYECTO: Construccion de un muro en el Sector Remate</t>
  </si>
  <si>
    <t xml:space="preserve">Materiales de construcción </t>
  </si>
  <si>
    <t>7.5</t>
  </si>
  <si>
    <t>7.5.0.1</t>
  </si>
  <si>
    <t>otros de uso y consumo corriente</t>
  </si>
  <si>
    <t>PROYECTO: Actualización del Plan de Desarrollo y Ordenamiento Territorial de Principal</t>
  </si>
  <si>
    <r>
      <t xml:space="preserve">PROYECTO: </t>
    </r>
    <r>
      <rPr>
        <sz val="8"/>
        <rFont val="Arial"/>
        <family val="2"/>
      </rPr>
      <t xml:space="preserve">Aquisicion de mobiliario para el GAD parroquial </t>
    </r>
  </si>
  <si>
    <r>
      <t xml:space="preserve">PROYECTO: </t>
    </r>
    <r>
      <rPr>
        <sz val="8"/>
        <color theme="1"/>
        <rFont val="Arial"/>
        <family val="2"/>
      </rPr>
      <t>Atencion al sector vulnerable</t>
    </r>
  </si>
  <si>
    <t>Compensación por desahucio</t>
  </si>
  <si>
    <t>Obras publicas de transporte y vias</t>
  </si>
  <si>
    <t>71.05</t>
  </si>
  <si>
    <t>GRUPO I - GASTOS PERSONAL PARA INVERSION</t>
  </si>
  <si>
    <t xml:space="preserve"> </t>
  </si>
  <si>
    <t>Obras de Infraestructura</t>
  </si>
  <si>
    <t>PROYECTO: Mejoramiento y diversificacion de la producción agropecuaria</t>
  </si>
  <si>
    <t>9.7</t>
  </si>
  <si>
    <t>APLICACIÓN DEL FINANCIAMIENTO</t>
  </si>
  <si>
    <t>9.7.0.1</t>
  </si>
  <si>
    <t>Deuda Flotante</t>
  </si>
  <si>
    <t>Mgs. Segundo G. Cambizaca</t>
  </si>
  <si>
    <t>SECRETARIA-TESORERA GADPP.</t>
  </si>
  <si>
    <t>GRUPO II- BIENES Y SERVCIOS  PARA INVERSION</t>
  </si>
  <si>
    <t>GRUPO I - BIENES Y SERVICIOS PARA INVERSION</t>
  </si>
  <si>
    <t>GRUPO I-BIENES Y SERVICIOS DE INVERSION</t>
  </si>
  <si>
    <t>GRUPO II- OBRAS PUBLICAS</t>
  </si>
  <si>
    <t>GRUPO I GASTOS EN PERSONAL PARA INVERSION</t>
  </si>
  <si>
    <t>GRUPO II -BIENES Y SERVICIOS DE INVERSION</t>
  </si>
  <si>
    <t>GRUPO II - BIENES Y SERVICION PARA PRODUCCION</t>
  </si>
  <si>
    <t>GRUPO II - BIENES Y SERVICION PARA INVERSION</t>
  </si>
  <si>
    <t>GRUPO I -  BIENES Y SERVICIOS PARA INVERSION</t>
  </si>
  <si>
    <t>GRUPO I PASIVO CIRCULANTE</t>
  </si>
  <si>
    <t>De cuentas por pagar</t>
  </si>
  <si>
    <t>5.3.08.99</t>
  </si>
  <si>
    <t>7.5.01.05</t>
  </si>
  <si>
    <t>9.7.01.01</t>
  </si>
  <si>
    <t>Honorarios</t>
  </si>
  <si>
    <t>DISTRIBUTIVO DE SUELDOS AÑO 2015</t>
  </si>
  <si>
    <t>AUXILIAR ADMINISTRATIVO</t>
  </si>
  <si>
    <t>AUXILIAR DE LIMPIEZA</t>
  </si>
  <si>
    <t>7.3.02.99</t>
  </si>
  <si>
    <r>
      <t xml:space="preserve">PROYECTO: </t>
    </r>
    <r>
      <rPr>
        <sz val="8"/>
        <color theme="1"/>
        <rFont val="Arial"/>
        <family val="2"/>
      </rPr>
      <t>Otros Servicios para atencion al sector vulnerable</t>
    </r>
  </si>
  <si>
    <t>PROYECTO:  Reconstruccion de aceras y bordillos</t>
  </si>
  <si>
    <t>7.5.01</t>
  </si>
  <si>
    <t>7.5.01.99</t>
  </si>
  <si>
    <t>7.5.01.04</t>
  </si>
  <si>
    <t>Obras públicas</t>
  </si>
  <si>
    <t>Aceite agrícola</t>
  </si>
  <si>
    <t>PROYECTO: Convenio con el municipio del cantón Chordeleg para el "Adecentamiento de la plazoleta de Celel en la parroquia Principal"</t>
  </si>
  <si>
    <t>PROYECTO: Convenio con el municipio del cantón Chordeleg para la " Iluminacion de la vía Jacinto Peláez y César Cambizaca en el sector Gauzal de la parroquia Principal"</t>
  </si>
  <si>
    <t>PROYECTO: Honorarios del técnico para las plantaciones forestales con fines productivos o de protección</t>
  </si>
  <si>
    <t>OBRAS PUBLICAS</t>
  </si>
  <si>
    <t>PROYECTO: Construcción de baños y colocacion de juegos infantiles en el sector de Alizal</t>
  </si>
  <si>
    <t>2.8.03</t>
  </si>
  <si>
    <t>2.8.03.01</t>
  </si>
  <si>
    <t xml:space="preserve">PROYECTO: Construcción de cancha de ecuabolly en Celel </t>
  </si>
  <si>
    <t>Materiales de construcción para construcción cancha ecuabolly</t>
  </si>
  <si>
    <t>7.1.05.03.02</t>
  </si>
  <si>
    <t>PROYECTO: Construcción de escenario en Alizal</t>
  </si>
  <si>
    <t>7.1.01.03.01</t>
  </si>
  <si>
    <t>8.4.01.04</t>
  </si>
  <si>
    <t>Maquinaria y equipos (Monocultor)</t>
  </si>
  <si>
    <t>Bienes Muebles</t>
  </si>
  <si>
    <t>8.4</t>
  </si>
  <si>
    <t>BIENES DE LARGA DURACION</t>
  </si>
  <si>
    <t>Maquinaria y equipos  (mantenimiento y ampliación de camino vecinal El Remate Gausal-Vía Principal a Guel apertura vial en alizal)</t>
  </si>
  <si>
    <t>Maquinaria y equipos (mantenimiento vial Principal)</t>
  </si>
  <si>
    <t>Maquinaria y equipos (Mantenimiento vial con tasa solidaria)</t>
  </si>
  <si>
    <t>Materiales de construcción (mantenimiento vial parroquial)</t>
  </si>
  <si>
    <t>Materiales de construcción (mantenimiento vial parroquial tasa solidaria)</t>
  </si>
  <si>
    <t>Otras obras de infarestructura (Iluminacion en el sector Gauzal)</t>
  </si>
  <si>
    <t>Otros servicios (Amplificacion)</t>
  </si>
  <si>
    <t xml:space="preserve">Servicios personales por contrato </t>
  </si>
  <si>
    <t>Jornales (adecentamiento de senderos)</t>
  </si>
  <si>
    <t>Materiales de construcción (arreglo de senderos)</t>
  </si>
  <si>
    <t>Materiales de construcción  (escenario y baños publicos)</t>
  </si>
  <si>
    <t>Otras obras de infarestructura (Construcción de  baños en el sector de Alizal)</t>
  </si>
  <si>
    <t>De Urbanizacion y Embellecimiento (Juegos para niños)</t>
  </si>
  <si>
    <t>De Urbanizacion y Embellecimiento (Construcción de la cancha de uso multiple y mini parque en la comunidad de Celel)</t>
  </si>
  <si>
    <t>Maquinaria y equipos (alcantarillado en Gauzal-Tablahuaico)</t>
  </si>
  <si>
    <t>Materiales de construcción (alcantarillado en Gauzal-Tablahuaico).</t>
  </si>
  <si>
    <t>Vehículos (arriendo de bus para gira de observación)</t>
  </si>
  <si>
    <t>Semovientes (Adquisición de cuyes pies de cría)</t>
  </si>
  <si>
    <t>Donaciones de Capital del Sector Externo</t>
  </si>
  <si>
    <t xml:space="preserve">Donaciones recibidas de gobiernos y organismos gubernamentales </t>
  </si>
  <si>
    <t>7.1.05.07</t>
  </si>
  <si>
    <t>7.3.08.19</t>
  </si>
  <si>
    <t>7.3.15.15.1</t>
  </si>
  <si>
    <t>7.3.15.15.2</t>
  </si>
  <si>
    <t>.</t>
  </si>
  <si>
    <t>PROYECTO: Adquisicion de un motocultor para la Asociacion Agropecuaria Paramos de Principal</t>
  </si>
  <si>
    <t>REFORMA DEFINITIVA AÑO 2015</t>
  </si>
  <si>
    <t>PROYECTO: Fondos de reserva auxiliar de limpieza</t>
  </si>
  <si>
    <t>Fondos de reserva</t>
  </si>
  <si>
    <t xml:space="preserve">PROYECTO: Mantenimiento de equipo de comunicación </t>
  </si>
  <si>
    <t>7.3.08.11</t>
  </si>
  <si>
    <t>Materiales de electricidad para el mantenimiento de las bocinas de Celel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</si>
</sst>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0000"/>
    <numFmt numFmtId="168" formatCode="#,##0.000000000"/>
    <numFmt numFmtId="169" formatCode="#,##0.0000"/>
    <numFmt numFmtId="170" formatCode="#,##0.00000"/>
    <numFmt numFmtId="171" formatCode="0.0000000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9" tint="-0.499984740745262"/>
      <name val="Arial"/>
      <family val="2"/>
    </font>
    <font>
      <b/>
      <u/>
      <sz val="8"/>
      <color theme="1"/>
      <name val="Arial"/>
      <family val="2"/>
    </font>
    <font>
      <b/>
      <u val="singleAccounting"/>
      <sz val="8"/>
      <color theme="1"/>
      <name val="Arial"/>
      <family val="2"/>
    </font>
    <font>
      <sz val="12"/>
      <color rgb="FFFF0000"/>
      <name val="Calibri"/>
      <family val="2"/>
      <scheme val="minor"/>
    </font>
    <font>
      <b/>
      <u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9" fontId="19" fillId="0" borderId="0" xfId="0" applyNumberFormat="1" applyFont="1" applyFill="1" applyBorder="1" applyAlignment="1">
      <alignment horizontal="left"/>
    </xf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Border="1"/>
    <xf numFmtId="49" fontId="19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/>
    <xf numFmtId="4" fontId="19" fillId="0" borderId="1" xfId="0" applyNumberFormat="1" applyFont="1" applyFill="1" applyBorder="1"/>
    <xf numFmtId="49" fontId="20" fillId="0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4" fontId="6" fillId="0" borderId="1" xfId="7" applyNumberFormat="1" applyFont="1" applyFill="1" applyBorder="1"/>
    <xf numFmtId="0" fontId="19" fillId="0" borderId="0" xfId="0" applyFont="1"/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4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3" fillId="0" borderId="0" xfId="0" applyFont="1" applyBorder="1"/>
    <xf numFmtId="0" fontId="24" fillId="0" borderId="0" xfId="0" applyFont="1"/>
    <xf numFmtId="4" fontId="24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5" fillId="0" borderId="1" xfId="0" applyFont="1" applyBorder="1"/>
    <xf numFmtId="0" fontId="24" fillId="0" borderId="1" xfId="0" applyFont="1" applyBorder="1"/>
    <xf numFmtId="165" fontId="2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5" fillId="0" borderId="1" xfId="9" applyFont="1" applyBorder="1"/>
    <xf numFmtId="0" fontId="20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19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7" fontId="2" fillId="0" borderId="0" xfId="0" applyNumberFormat="1" applyFont="1"/>
    <xf numFmtId="168" fontId="2" fillId="0" borderId="0" xfId="0" applyNumberFormat="1" applyFont="1"/>
    <xf numFmtId="168" fontId="10" fillId="0" borderId="0" xfId="0" applyNumberFormat="1" applyFont="1"/>
    <xf numFmtId="167" fontId="5" fillId="0" borderId="0" xfId="0" applyNumberFormat="1" applyFont="1"/>
    <xf numFmtId="0" fontId="28" fillId="0" borderId="0" xfId="0" applyFont="1" applyFill="1" applyBorder="1" applyAlignment="1"/>
    <xf numFmtId="0" fontId="28" fillId="0" borderId="0" xfId="0" applyFont="1" applyFill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0" applyFont="1" applyFill="1" applyBorder="1"/>
    <xf numFmtId="165" fontId="6" fillId="0" borderId="0" xfId="1" applyNumberFormat="1" applyFont="1" applyFill="1" applyBorder="1"/>
    <xf numFmtId="169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70" fontId="7" fillId="0" borderId="1" xfId="0" applyNumberFormat="1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right"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34" fillId="0" borderId="19" xfId="0" applyFont="1" applyBorder="1" applyAlignment="1">
      <alignment horizontal="right" wrapText="1"/>
    </xf>
    <xf numFmtId="0" fontId="34" fillId="0" borderId="1" xfId="0" applyFont="1" applyFill="1" applyBorder="1" applyAlignment="1">
      <alignment wrapText="1"/>
    </xf>
    <xf numFmtId="165" fontId="34" fillId="0" borderId="1" xfId="1" applyNumberFormat="1" applyFont="1" applyFill="1" applyBorder="1" applyAlignment="1">
      <alignment wrapText="1"/>
    </xf>
    <xf numFmtId="165" fontId="34" fillId="0" borderId="20" xfId="1" applyNumberFormat="1" applyFont="1" applyFill="1" applyBorder="1" applyAlignment="1">
      <alignment wrapText="1"/>
    </xf>
    <xf numFmtId="49" fontId="35" fillId="0" borderId="19" xfId="0" applyNumberFormat="1" applyFont="1" applyBorder="1" applyAlignment="1">
      <alignment horizontal="right" wrapText="1"/>
    </xf>
    <xf numFmtId="0" fontId="36" fillId="0" borderId="1" xfId="0" applyFont="1" applyFill="1" applyBorder="1" applyAlignment="1">
      <alignment wrapText="1"/>
    </xf>
    <xf numFmtId="165" fontId="36" fillId="0" borderId="1" xfId="1" applyNumberFormat="1" applyFont="1" applyFill="1" applyBorder="1" applyAlignment="1">
      <alignment wrapText="1"/>
    </xf>
    <xf numFmtId="165" fontId="36" fillId="0" borderId="20" xfId="1" applyNumberFormat="1" applyFont="1" applyFill="1" applyBorder="1" applyAlignment="1">
      <alignment wrapText="1"/>
    </xf>
    <xf numFmtId="0" fontId="32" fillId="0" borderId="19" xfId="5" applyFont="1" applyBorder="1" applyAlignment="1">
      <alignment horizontal="right" wrapText="1"/>
    </xf>
    <xf numFmtId="0" fontId="32" fillId="0" borderId="1" xfId="0" applyFont="1" applyFill="1" applyBorder="1" applyAlignment="1">
      <alignment wrapText="1"/>
    </xf>
    <xf numFmtId="165" fontId="32" fillId="0" borderId="1" xfId="1" applyNumberFormat="1" applyFont="1" applyFill="1" applyBorder="1" applyAlignment="1">
      <alignment wrapText="1"/>
    </xf>
    <xf numFmtId="0" fontId="36" fillId="0" borderId="19" xfId="7" applyFont="1" applyBorder="1" applyAlignment="1">
      <alignment horizontal="right" wrapText="1"/>
    </xf>
    <xf numFmtId="0" fontId="32" fillId="0" borderId="19" xfId="7" applyFont="1" applyBorder="1" applyAlignment="1">
      <alignment horizontal="right" wrapText="1"/>
    </xf>
    <xf numFmtId="0" fontId="33" fillId="0" borderId="19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165" fontId="32" fillId="0" borderId="16" xfId="1" applyNumberFormat="1" applyFont="1" applyFill="1" applyBorder="1" applyAlignment="1">
      <alignment wrapText="1"/>
    </xf>
    <xf numFmtId="0" fontId="35" fillId="0" borderId="21" xfId="0" applyFont="1" applyBorder="1" applyAlignment="1">
      <alignment horizontal="right" wrapText="1"/>
    </xf>
    <xf numFmtId="0" fontId="36" fillId="0" borderId="22" xfId="0" applyFont="1" applyFill="1" applyBorder="1" applyAlignment="1">
      <alignment wrapText="1"/>
    </xf>
    <xf numFmtId="165" fontId="36" fillId="0" borderId="22" xfId="1" applyNumberFormat="1" applyFont="1" applyFill="1" applyBorder="1" applyAlignment="1">
      <alignment wrapText="1"/>
    </xf>
    <xf numFmtId="0" fontId="31" fillId="0" borderId="17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43" fontId="2" fillId="0" borderId="0" xfId="10" applyFont="1"/>
    <xf numFmtId="165" fontId="33" fillId="0" borderId="2" xfId="1" applyNumberFormat="1" applyFont="1" applyFill="1" applyBorder="1" applyAlignment="1">
      <alignment wrapText="1"/>
    </xf>
    <xf numFmtId="0" fontId="11" fillId="0" borderId="1" xfId="0" applyFont="1" applyBorder="1"/>
    <xf numFmtId="165" fontId="34" fillId="0" borderId="2" xfId="1" applyNumberFormat="1" applyFont="1" applyFill="1" applyBorder="1" applyAlignment="1">
      <alignment wrapText="1"/>
    </xf>
    <xf numFmtId="0" fontId="10" fillId="0" borderId="1" xfId="0" applyFont="1" applyBorder="1"/>
    <xf numFmtId="165" fontId="36" fillId="0" borderId="2" xfId="1" applyNumberFormat="1" applyFont="1" applyFill="1" applyBorder="1" applyAlignment="1">
      <alignment wrapText="1"/>
    </xf>
    <xf numFmtId="165" fontId="32" fillId="0" borderId="2" xfId="1" applyNumberFormat="1" applyFont="1" applyFill="1" applyBorder="1" applyAlignment="1">
      <alignment wrapText="1"/>
    </xf>
    <xf numFmtId="43" fontId="10" fillId="0" borderId="1" xfId="0" applyNumberFormat="1" applyFont="1" applyBorder="1"/>
    <xf numFmtId="43" fontId="3" fillId="0" borderId="1" xfId="0" applyNumberFormat="1" applyFont="1" applyBorder="1"/>
    <xf numFmtId="43" fontId="33" fillId="0" borderId="25" xfId="10" applyFont="1" applyBorder="1" applyAlignment="1">
      <alignment horizontal="right" wrapText="1"/>
    </xf>
    <xf numFmtId="0" fontId="34" fillId="0" borderId="2" xfId="0" applyFont="1" applyBorder="1" applyAlignment="1">
      <alignment wrapText="1"/>
    </xf>
    <xf numFmtId="165" fontId="34" fillId="0" borderId="2" xfId="0" applyNumberFormat="1" applyFont="1" applyBorder="1" applyAlignment="1">
      <alignment wrapText="1"/>
    </xf>
    <xf numFmtId="165" fontId="32" fillId="0" borderId="23" xfId="1" applyNumberFormat="1" applyFont="1" applyFill="1" applyBorder="1" applyAlignment="1">
      <alignment wrapText="1"/>
    </xf>
    <xf numFmtId="165" fontId="36" fillId="0" borderId="26" xfId="1" applyNumberFormat="1" applyFont="1" applyFill="1" applyBorder="1" applyAlignment="1">
      <alignment wrapText="1"/>
    </xf>
    <xf numFmtId="0" fontId="29" fillId="0" borderId="0" xfId="0" applyFont="1"/>
    <xf numFmtId="0" fontId="0" fillId="0" borderId="0" xfId="0" applyFont="1"/>
    <xf numFmtId="0" fontId="29" fillId="0" borderId="0" xfId="0" applyFont="1" applyAlignment="1">
      <alignment horizontal="center"/>
    </xf>
    <xf numFmtId="0" fontId="37" fillId="0" borderId="1" xfId="0" applyFont="1" applyFill="1" applyBorder="1" applyAlignment="1">
      <alignment vertical="center" readingOrder="1"/>
    </xf>
    <xf numFmtId="2" fontId="30" fillId="5" borderId="1" xfId="0" applyNumberFormat="1" applyFont="1" applyFill="1" applyBorder="1" applyAlignment="1">
      <alignment wrapText="1"/>
    </xf>
    <xf numFmtId="0" fontId="30" fillId="0" borderId="1" xfId="0" applyFont="1" applyBorder="1"/>
    <xf numFmtId="2" fontId="30" fillId="6" borderId="1" xfId="0" applyNumberFormat="1" applyFont="1" applyFill="1" applyBorder="1"/>
    <xf numFmtId="1" fontId="0" fillId="0" borderId="0" xfId="0" applyNumberFormat="1"/>
    <xf numFmtId="0" fontId="38" fillId="5" borderId="1" xfId="0" applyFont="1" applyFill="1" applyBorder="1"/>
    <xf numFmtId="2" fontId="38" fillId="5" borderId="1" xfId="0" applyNumberFormat="1" applyFont="1" applyFill="1" applyBorder="1"/>
    <xf numFmtId="0" fontId="29" fillId="5" borderId="0" xfId="0" applyFont="1" applyFill="1"/>
    <xf numFmtId="9" fontId="0" fillId="0" borderId="0" xfId="0" applyNumberFormat="1"/>
    <xf numFmtId="2" fontId="0" fillId="0" borderId="0" xfId="0" applyNumberFormat="1" applyFill="1" applyBorder="1"/>
    <xf numFmtId="43" fontId="0" fillId="0" borderId="0" xfId="0" applyNumberFormat="1" applyFont="1"/>
    <xf numFmtId="4" fontId="30" fillId="6" borderId="1" xfId="0" applyNumberFormat="1" applyFont="1" applyFill="1" applyBorder="1"/>
    <xf numFmtId="43" fontId="29" fillId="0" borderId="0" xfId="0" applyNumberFormat="1" applyFont="1"/>
    <xf numFmtId="2" fontId="38" fillId="0" borderId="1" xfId="0" applyNumberFormat="1" applyFont="1" applyBorder="1"/>
    <xf numFmtId="0" fontId="38" fillId="0" borderId="1" xfId="0" applyFont="1" applyBorder="1"/>
    <xf numFmtId="2" fontId="29" fillId="0" borderId="0" xfId="0" applyNumberFormat="1" applyFont="1"/>
    <xf numFmtId="0" fontId="29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9" fillId="8" borderId="0" xfId="0" applyFont="1" applyFill="1"/>
    <xf numFmtId="9" fontId="29" fillId="8" borderId="0" xfId="0" applyNumberFormat="1" applyFont="1" applyFill="1"/>
    <xf numFmtId="0" fontId="0" fillId="8" borderId="0" xfId="0" applyFill="1"/>
    <xf numFmtId="2" fontId="0" fillId="8" borderId="0" xfId="0" applyNumberFormat="1" applyFill="1"/>
    <xf numFmtId="2" fontId="29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2" fontId="0" fillId="7" borderId="0" xfId="0" applyNumberFormat="1" applyFill="1"/>
    <xf numFmtId="2" fontId="29" fillId="5" borderId="0" xfId="0" applyNumberFormat="1" applyFont="1" applyFill="1"/>
    <xf numFmtId="2" fontId="29" fillId="7" borderId="0" xfId="0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9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1" fillId="2" borderId="1" xfId="0" applyFont="1" applyFill="1" applyBorder="1" applyAlignment="1">
      <alignment horizontal="justify" vertical="center"/>
    </xf>
    <xf numFmtId="0" fontId="29" fillId="0" borderId="0" xfId="0" applyFont="1" applyAlignment="1"/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0" fontId="36" fillId="0" borderId="18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43" fontId="10" fillId="0" borderId="0" xfId="0" applyNumberFormat="1" applyFont="1"/>
    <xf numFmtId="49" fontId="20" fillId="0" borderId="29" xfId="0" applyNumberFormat="1" applyFont="1" applyFill="1" applyBorder="1" applyAlignment="1">
      <alignment horizontal="right"/>
    </xf>
    <xf numFmtId="4" fontId="19" fillId="0" borderId="29" xfId="0" applyNumberFormat="1" applyFont="1" applyFill="1" applyBorder="1"/>
    <xf numFmtId="49" fontId="20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wrapText="1"/>
    </xf>
    <xf numFmtId="4" fontId="19" fillId="0" borderId="3" xfId="0" applyNumberFormat="1" applyFont="1" applyFill="1" applyBorder="1"/>
    <xf numFmtId="2" fontId="0" fillId="2" borderId="0" xfId="9" applyNumberFormat="1" applyFont="1" applyFill="1"/>
    <xf numFmtId="0" fontId="29" fillId="0" borderId="0" xfId="0" applyFont="1" applyAlignment="1">
      <alignment horizontal="center"/>
    </xf>
    <xf numFmtId="43" fontId="2" fillId="0" borderId="1" xfId="10" applyFont="1" applyBorder="1"/>
    <xf numFmtId="43" fontId="11" fillId="0" borderId="1" xfId="10" applyFont="1" applyBorder="1"/>
    <xf numFmtId="43" fontId="34" fillId="0" borderId="1" xfId="10" applyFont="1" applyBorder="1" applyAlignment="1">
      <alignment wrapText="1"/>
    </xf>
    <xf numFmtId="43" fontId="36" fillId="0" borderId="1" xfId="10" applyFont="1" applyFill="1" applyBorder="1" applyAlignment="1">
      <alignment wrapText="1"/>
    </xf>
    <xf numFmtId="43" fontId="32" fillId="0" borderId="1" xfId="10" applyFont="1" applyFill="1" applyBorder="1" applyAlignment="1">
      <alignment wrapText="1"/>
    </xf>
    <xf numFmtId="43" fontId="5" fillId="0" borderId="1" xfId="10" applyFont="1" applyBorder="1"/>
    <xf numFmtId="4" fontId="29" fillId="0" borderId="0" xfId="0" applyNumberFormat="1" applyFont="1"/>
    <xf numFmtId="4" fontId="0" fillId="0" borderId="0" xfId="0" applyNumberFormat="1" applyFont="1"/>
    <xf numFmtId="43" fontId="29" fillId="0" borderId="0" xfId="0" applyNumberFormat="1" applyFont="1" applyAlignment="1">
      <alignment horizontal="center"/>
    </xf>
    <xf numFmtId="171" fontId="0" fillId="0" borderId="0" xfId="0" applyNumberFormat="1"/>
    <xf numFmtId="0" fontId="20" fillId="0" borderId="1" xfId="0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right" vertical="top"/>
    </xf>
    <xf numFmtId="49" fontId="19" fillId="0" borderId="3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wrapText="1"/>
    </xf>
    <xf numFmtId="0" fontId="19" fillId="0" borderId="1" xfId="0" applyFont="1" applyBorder="1" applyAlignment="1">
      <alignment horizontal="right"/>
    </xf>
    <xf numFmtId="0" fontId="19" fillId="0" borderId="1" xfId="0" applyFont="1" applyBorder="1"/>
    <xf numFmtId="0" fontId="20" fillId="0" borderId="1" xfId="0" applyFont="1" applyBorder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wrapText="1"/>
    </xf>
    <xf numFmtId="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165" fontId="44" fillId="0" borderId="1" xfId="1" applyNumberFormat="1" applyFont="1" applyFill="1" applyBorder="1" applyAlignment="1">
      <alignment wrapText="1"/>
    </xf>
    <xf numFmtId="165" fontId="44" fillId="0" borderId="2" xfId="1" applyNumberFormat="1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165" fontId="6" fillId="0" borderId="0" xfId="0" applyNumberFormat="1" applyFont="1" applyFill="1" applyBorder="1"/>
    <xf numFmtId="4" fontId="7" fillId="0" borderId="1" xfId="7" applyNumberFormat="1" applyFont="1" applyFill="1" applyBorder="1"/>
    <xf numFmtId="0" fontId="6" fillId="0" borderId="1" xfId="7" applyFont="1" applyFill="1" applyBorder="1" applyAlignment="1"/>
    <xf numFmtId="2" fontId="47" fillId="5" borderId="1" xfId="0" applyNumberFormat="1" applyFont="1" applyFill="1" applyBorder="1" applyAlignment="1">
      <alignment wrapText="1"/>
    </xf>
    <xf numFmtId="0" fontId="19" fillId="13" borderId="1" xfId="0" applyFont="1" applyFill="1" applyBorder="1" applyAlignment="1">
      <alignment wrapText="1"/>
    </xf>
    <xf numFmtId="0" fontId="7" fillId="13" borderId="1" xfId="7" applyFont="1" applyFill="1" applyBorder="1" applyAlignment="1">
      <alignment wrapText="1"/>
    </xf>
    <xf numFmtId="0" fontId="19" fillId="13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left"/>
    </xf>
    <xf numFmtId="0" fontId="19" fillId="13" borderId="3" xfId="0" applyFont="1" applyFill="1" applyBorder="1" applyAlignment="1">
      <alignment wrapText="1"/>
    </xf>
    <xf numFmtId="4" fontId="19" fillId="13" borderId="1" xfId="0" applyNumberFormat="1" applyFont="1" applyFill="1" applyBorder="1"/>
    <xf numFmtId="0" fontId="6" fillId="13" borderId="1" xfId="7" applyFont="1" applyFill="1" applyBorder="1" applyAlignment="1">
      <alignment wrapText="1"/>
    </xf>
    <xf numFmtId="4" fontId="19" fillId="0" borderId="0" xfId="0" applyNumberFormat="1" applyFont="1" applyFill="1" applyBorder="1" applyAlignment="1">
      <alignment horizontal="right" vertical="center"/>
    </xf>
    <xf numFmtId="49" fontId="20" fillId="0" borderId="1" xfId="0" applyNumberFormat="1" applyFont="1" applyBorder="1" applyAlignment="1">
      <alignment horizontal="right"/>
    </xf>
    <xf numFmtId="49" fontId="45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wrapText="1"/>
    </xf>
    <xf numFmtId="0" fontId="48" fillId="0" borderId="1" xfId="7" applyFont="1" applyFill="1" applyBorder="1" applyAlignment="1">
      <alignment horizontal="right"/>
    </xf>
    <xf numFmtId="0" fontId="48" fillId="0" borderId="1" xfId="7" applyFont="1" applyFill="1" applyBorder="1" applyAlignment="1">
      <alignment wrapText="1"/>
    </xf>
    <xf numFmtId="49" fontId="45" fillId="0" borderId="29" xfId="0" applyNumberFormat="1" applyFont="1" applyFill="1" applyBorder="1" applyAlignment="1">
      <alignment horizontal="right"/>
    </xf>
    <xf numFmtId="0" fontId="45" fillId="0" borderId="1" xfId="0" applyFont="1" applyBorder="1" applyAlignment="1">
      <alignment horizontal="right"/>
    </xf>
    <xf numFmtId="0" fontId="45" fillId="0" borderId="1" xfId="0" applyFont="1" applyBorder="1"/>
    <xf numFmtId="49" fontId="45" fillId="14" borderId="1" xfId="0" applyNumberFormat="1" applyFont="1" applyFill="1" applyBorder="1" applyAlignment="1">
      <alignment horizontal="right"/>
    </xf>
    <xf numFmtId="0" fontId="45" fillId="14" borderId="1" xfId="0" applyFont="1" applyFill="1" applyBorder="1"/>
    <xf numFmtId="2" fontId="20" fillId="0" borderId="0" xfId="0" applyNumberFormat="1" applyFont="1" applyFill="1"/>
    <xf numFmtId="2" fontId="20" fillId="0" borderId="0" xfId="0" applyNumberFormat="1" applyFont="1"/>
    <xf numFmtId="2" fontId="20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/>
    <xf numFmtId="2" fontId="19" fillId="0" borderId="1" xfId="0" applyNumberFormat="1" applyFont="1" applyFill="1" applyBorder="1"/>
    <xf numFmtId="2" fontId="20" fillId="0" borderId="1" xfId="0" applyNumberFormat="1" applyFont="1" applyFill="1" applyBorder="1"/>
    <xf numFmtId="2" fontId="45" fillId="0" borderId="1" xfId="0" applyNumberFormat="1" applyFont="1" applyFill="1" applyBorder="1"/>
    <xf numFmtId="2" fontId="45" fillId="0" borderId="0" xfId="0" applyNumberFormat="1" applyFont="1" applyFill="1" applyBorder="1"/>
    <xf numFmtId="2" fontId="20" fillId="0" borderId="29" xfId="0" applyNumberFormat="1" applyFont="1" applyFill="1" applyBorder="1"/>
    <xf numFmtId="2" fontId="20" fillId="0" borderId="3" xfId="0" applyNumberFormat="1" applyFont="1" applyFill="1" applyBorder="1"/>
    <xf numFmtId="2" fontId="19" fillId="0" borderId="1" xfId="0" applyNumberFormat="1" applyFont="1" applyBorder="1"/>
    <xf numFmtId="2" fontId="45" fillId="0" borderId="29" xfId="0" applyNumberFormat="1" applyFont="1" applyFill="1" applyBorder="1"/>
    <xf numFmtId="2" fontId="19" fillId="0" borderId="29" xfId="0" applyNumberFormat="1" applyFont="1" applyFill="1" applyBorder="1"/>
    <xf numFmtId="2" fontId="46" fillId="0" borderId="1" xfId="10" applyNumberFormat="1" applyFont="1" applyFill="1" applyBorder="1"/>
    <xf numFmtId="2" fontId="19" fillId="0" borderId="1" xfId="10" applyNumberFormat="1" applyFont="1" applyFill="1" applyBorder="1"/>
    <xf numFmtId="2" fontId="20" fillId="0" borderId="1" xfId="10" applyNumberFormat="1" applyFont="1" applyFill="1" applyBorder="1"/>
    <xf numFmtId="2" fontId="19" fillId="0" borderId="0" xfId="0" applyNumberFormat="1" applyFont="1" applyFill="1" applyBorder="1"/>
    <xf numFmtId="0" fontId="20" fillId="14" borderId="0" xfId="0" applyFont="1" applyFill="1"/>
    <xf numFmtId="49" fontId="19" fillId="0" borderId="28" xfId="0" applyNumberFormat="1" applyFont="1" applyFill="1" applyBorder="1" applyAlignment="1">
      <alignment horizontal="right"/>
    </xf>
    <xf numFmtId="0" fontId="19" fillId="0" borderId="28" xfId="0" applyFont="1" applyFill="1" applyBorder="1" applyAlignment="1">
      <alignment wrapText="1"/>
    </xf>
    <xf numFmtId="2" fontId="19" fillId="0" borderId="28" xfId="0" applyNumberFormat="1" applyFont="1" applyFill="1" applyBorder="1"/>
    <xf numFmtId="4" fontId="19" fillId="0" borderId="28" xfId="0" applyNumberFormat="1" applyFont="1" applyFill="1" applyBorder="1"/>
    <xf numFmtId="0" fontId="20" fillId="0" borderId="0" xfId="0" applyFont="1" applyBorder="1"/>
    <xf numFmtId="0" fontId="20" fillId="14" borderId="0" xfId="0" applyFont="1" applyFill="1" applyBorder="1"/>
    <xf numFmtId="0" fontId="19" fillId="14" borderId="0" xfId="0" applyFont="1" applyFill="1" applyBorder="1"/>
    <xf numFmtId="4" fontId="19" fillId="13" borderId="0" xfId="0" applyNumberFormat="1" applyFont="1" applyFill="1" applyBorder="1"/>
    <xf numFmtId="49" fontId="19" fillId="0" borderId="2" xfId="0" applyNumberFormat="1" applyFont="1" applyFill="1" applyBorder="1" applyAlignment="1">
      <alignment horizontal="right"/>
    </xf>
    <xf numFmtId="49" fontId="20" fillId="0" borderId="2" xfId="0" applyNumberFormat="1" applyFont="1" applyFill="1" applyBorder="1" applyAlignment="1">
      <alignment horizontal="right"/>
    </xf>
    <xf numFmtId="4" fontId="19" fillId="0" borderId="0" xfId="0" applyNumberFormat="1" applyFont="1" applyFill="1"/>
    <xf numFmtId="0" fontId="7" fillId="0" borderId="0" xfId="7" applyFont="1" applyFill="1" applyBorder="1" applyAlignment="1">
      <alignment wrapText="1"/>
    </xf>
    <xf numFmtId="4" fontId="45" fillId="0" borderId="1" xfId="0" applyNumberFormat="1" applyFont="1" applyFill="1" applyBorder="1"/>
    <xf numFmtId="49" fontId="20" fillId="0" borderId="28" xfId="0" applyNumberFormat="1" applyFont="1" applyFill="1" applyBorder="1" applyAlignment="1">
      <alignment horizontal="right"/>
    </xf>
    <xf numFmtId="0" fontId="45" fillId="0" borderId="28" xfId="0" applyFont="1" applyFill="1" applyBorder="1" applyAlignment="1">
      <alignment wrapText="1"/>
    </xf>
    <xf numFmtId="4" fontId="45" fillId="0" borderId="28" xfId="0" applyNumberFormat="1" applyFont="1" applyFill="1" applyBorder="1"/>
    <xf numFmtId="0" fontId="32" fillId="0" borderId="30" xfId="0" applyFont="1" applyFill="1" applyBorder="1" applyAlignment="1">
      <alignment wrapText="1"/>
    </xf>
    <xf numFmtId="165" fontId="32" fillId="0" borderId="30" xfId="1" applyNumberFormat="1" applyFont="1" applyFill="1" applyBorder="1" applyAlignment="1">
      <alignment wrapText="1"/>
    </xf>
    <xf numFmtId="165" fontId="32" fillId="0" borderId="31" xfId="1" applyNumberFormat="1" applyFont="1" applyFill="1" applyBorder="1" applyAlignment="1">
      <alignment wrapText="1"/>
    </xf>
    <xf numFmtId="43" fontId="3" fillId="0" borderId="1" xfId="10" applyFont="1" applyBorder="1"/>
    <xf numFmtId="0" fontId="6" fillId="0" borderId="0" xfId="7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4" fontId="7" fillId="13" borderId="1" xfId="0" applyNumberFormat="1" applyFont="1" applyFill="1" applyBorder="1"/>
    <xf numFmtId="49" fontId="48" fillId="14" borderId="1" xfId="0" applyNumberFormat="1" applyFont="1" applyFill="1" applyBorder="1" applyAlignment="1">
      <alignment horizontal="right"/>
    </xf>
    <xf numFmtId="0" fontId="48" fillId="14" borderId="1" xfId="0" applyFont="1" applyFill="1" applyBorder="1"/>
    <xf numFmtId="2" fontId="48" fillId="0" borderId="1" xfId="0" applyNumberFormat="1" applyFont="1" applyFill="1" applyBorder="1"/>
    <xf numFmtId="43" fontId="4" fillId="0" borderId="1" xfId="10" applyFont="1" applyBorder="1"/>
    <xf numFmtId="0" fontId="36" fillId="0" borderId="1" xfId="0" applyFont="1" applyFill="1" applyBorder="1" applyAlignment="1">
      <alignment horizontal="center" vertical="center" wrapText="1"/>
    </xf>
    <xf numFmtId="2" fontId="45" fillId="0" borderId="28" xfId="0" applyNumberFormat="1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13" borderId="16" xfId="7" applyFont="1" applyFill="1" applyBorder="1" applyAlignment="1">
      <alignment horizontal="left" wrapText="1"/>
    </xf>
    <xf numFmtId="0" fontId="7" fillId="13" borderId="28" xfId="7" applyFont="1" applyFill="1" applyBorder="1" applyAlignment="1">
      <alignment horizontal="left" wrapText="1"/>
    </xf>
    <xf numFmtId="49" fontId="20" fillId="0" borderId="16" xfId="0" applyNumberFormat="1" applyFont="1" applyFill="1" applyBorder="1" applyAlignment="1">
      <alignment horizontal="center" wrapText="1"/>
    </xf>
    <xf numFmtId="49" fontId="20" fillId="0" borderId="28" xfId="0" applyNumberFormat="1" applyFont="1" applyFill="1" applyBorder="1" applyAlignment="1">
      <alignment horizontal="center" wrapText="1"/>
    </xf>
    <xf numFmtId="2" fontId="20" fillId="0" borderId="16" xfId="0" applyNumberFormat="1" applyFont="1" applyFill="1" applyBorder="1" applyAlignment="1">
      <alignment horizontal="center" wrapText="1"/>
    </xf>
    <xf numFmtId="2" fontId="20" fillId="0" borderId="28" xfId="0" applyNumberFormat="1" applyFont="1" applyFill="1" applyBorder="1" applyAlignment="1">
      <alignment horizontal="center" wrapText="1"/>
    </xf>
    <xf numFmtId="4" fontId="19" fillId="13" borderId="16" xfId="0" applyNumberFormat="1" applyFont="1" applyFill="1" applyBorder="1" applyAlignment="1">
      <alignment horizontal="right" wrapText="1"/>
    </xf>
    <xf numFmtId="4" fontId="19" fillId="13" borderId="28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center"/>
    </xf>
    <xf numFmtId="0" fontId="29" fillId="0" borderId="0" xfId="0" applyFont="1" applyAlignment="1">
      <alignment horizontal="center"/>
    </xf>
    <xf numFmtId="0" fontId="40" fillId="11" borderId="16" xfId="0" applyFont="1" applyFill="1" applyBorder="1" applyAlignment="1">
      <alignment horizontal="center" vertical="center" wrapText="1"/>
    </xf>
    <xf numFmtId="0" fontId="40" fillId="11" borderId="27" xfId="0" applyFont="1" applyFill="1" applyBorder="1" applyAlignment="1">
      <alignment horizontal="center" vertical="center" wrapText="1"/>
    </xf>
    <xf numFmtId="0" fontId="40" fillId="11" borderId="28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Q108"/>
  <sheetViews>
    <sheetView topLeftCell="A32" zoomScale="70" zoomScaleNormal="70" zoomScaleSheetLayoutView="85" workbookViewId="0">
      <selection activeCell="B73" sqref="B73"/>
    </sheetView>
  </sheetViews>
  <sheetFormatPr baseColWidth="10" defaultColWidth="11.42578125" defaultRowHeight="14.25" x14ac:dyDescent="0.2"/>
  <cols>
    <col min="1" max="1" width="14.28515625" style="140" customWidth="1"/>
    <col min="2" max="2" width="73.42578125" style="1" customWidth="1"/>
    <col min="3" max="3" width="14.5703125" style="2" hidden="1" customWidth="1"/>
    <col min="4" max="10" width="17.140625" style="2" hidden="1" customWidth="1"/>
    <col min="11" max="11" width="18.28515625" style="1" customWidth="1"/>
    <col min="12" max="12" width="30.42578125" style="1" customWidth="1"/>
    <col min="13" max="13" width="16.85546875" style="4" bestFit="1" customWidth="1"/>
    <col min="14" max="14" width="16.85546875" style="1" bestFit="1" customWidth="1"/>
    <col min="15" max="15" width="15.5703125" style="1" bestFit="1" customWidth="1"/>
    <col min="16" max="16" width="16.140625" style="1" customWidth="1"/>
    <col min="17" max="17" width="15.5703125" style="1" bestFit="1" customWidth="1"/>
    <col min="18" max="16384" width="11.42578125" style="1"/>
  </cols>
  <sheetData>
    <row r="1" spans="1:17" ht="20.25" x14ac:dyDescent="0.4">
      <c r="A1" s="362" t="s">
        <v>250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7" ht="18.75" x14ac:dyDescent="0.4">
      <c r="A2" s="363"/>
      <c r="B2" s="363"/>
      <c r="C2" s="363"/>
      <c r="D2" s="363"/>
      <c r="E2" s="363"/>
      <c r="F2" s="363"/>
      <c r="G2" s="363"/>
      <c r="H2" s="363"/>
      <c r="I2" s="363"/>
      <c r="J2" s="363"/>
    </row>
    <row r="3" spans="1:17" ht="18.75" x14ac:dyDescent="0.4">
      <c r="A3" s="363" t="s">
        <v>443</v>
      </c>
      <c r="B3" s="363"/>
      <c r="C3" s="363"/>
      <c r="D3" s="363"/>
      <c r="E3" s="363"/>
      <c r="F3" s="363"/>
      <c r="G3" s="363"/>
      <c r="H3" s="363"/>
      <c r="I3" s="363"/>
      <c r="J3" s="363"/>
    </row>
    <row r="4" spans="1:17" ht="15.75" thickBot="1" x14ac:dyDescent="0.3">
      <c r="B4" s="147"/>
      <c r="C4" s="148"/>
      <c r="D4" s="148"/>
      <c r="E4" s="148"/>
      <c r="F4" s="148"/>
      <c r="G4" s="148"/>
      <c r="H4" s="148"/>
      <c r="I4" s="148"/>
      <c r="J4" s="148"/>
    </row>
    <row r="5" spans="1:17" ht="63.75" thickTop="1" x14ac:dyDescent="0.25">
      <c r="A5" s="177" t="s">
        <v>237</v>
      </c>
      <c r="B5" s="249" t="s">
        <v>18</v>
      </c>
      <c r="C5" s="249" t="s">
        <v>17</v>
      </c>
      <c r="D5" s="249" t="s">
        <v>16</v>
      </c>
      <c r="E5" s="249" t="s">
        <v>15</v>
      </c>
      <c r="F5" s="250">
        <v>2010</v>
      </c>
      <c r="G5" s="250">
        <v>2011</v>
      </c>
      <c r="H5" s="250">
        <v>2012</v>
      </c>
      <c r="I5" s="250">
        <v>2013</v>
      </c>
      <c r="J5" s="250" t="s">
        <v>441</v>
      </c>
      <c r="K5" s="360" t="s">
        <v>442</v>
      </c>
      <c r="L5" s="3"/>
    </row>
    <row r="6" spans="1:17" s="8" customFormat="1" ht="15.75" x14ac:dyDescent="0.25">
      <c r="A6" s="155">
        <v>1</v>
      </c>
      <c r="B6" s="156" t="s">
        <v>14</v>
      </c>
      <c r="C6" s="157" t="e">
        <f>+C8+C12+#REF!+C17+C22+C26</f>
        <v>#REF!</v>
      </c>
      <c r="D6" s="157" t="e">
        <f>+D8+D12+#REF!+D17+D22+D26</f>
        <v>#REF!</v>
      </c>
      <c r="E6" s="157" t="e">
        <f>+E8+E12+#REF!+E17+E22+E26</f>
        <v>#REF!</v>
      </c>
      <c r="F6" s="180"/>
      <c r="G6" s="180"/>
      <c r="H6" s="180"/>
      <c r="I6" s="180"/>
      <c r="J6" s="180">
        <f>+J22+J26</f>
        <v>47717.136666666665</v>
      </c>
      <c r="K6" s="157">
        <f>+K22+K26</f>
        <v>62680</v>
      </c>
      <c r="M6" s="9"/>
    </row>
    <row r="7" spans="1:17" s="8" customFormat="1" ht="15.75" hidden="1" x14ac:dyDescent="0.25">
      <c r="A7" s="155"/>
      <c r="B7" s="156" t="s">
        <v>179</v>
      </c>
      <c r="C7" s="157"/>
      <c r="D7" s="157"/>
      <c r="E7" s="157"/>
      <c r="F7" s="180"/>
      <c r="G7" s="180">
        <f>+G22+G26</f>
        <v>53722.07</v>
      </c>
      <c r="H7" s="180">
        <f>+H22+H26</f>
        <v>45717.89</v>
      </c>
      <c r="I7" s="180">
        <f>+I22+I26</f>
        <v>47241.82</v>
      </c>
      <c r="J7" s="180">
        <f>+J22+J26</f>
        <v>47717.136666666665</v>
      </c>
      <c r="K7" s="181"/>
      <c r="M7" s="9"/>
    </row>
    <row r="8" spans="1:17" s="7" customFormat="1" ht="15.75" hidden="1" x14ac:dyDescent="0.25">
      <c r="A8" s="158" t="s">
        <v>161</v>
      </c>
      <c r="B8" s="159" t="s">
        <v>180</v>
      </c>
      <c r="C8" s="160" t="e">
        <f>+#REF!+C9+#REF!+#REF!</f>
        <v>#REF!</v>
      </c>
      <c r="D8" s="160" t="e">
        <f>+#REF!+D9+#REF!+#REF!</f>
        <v>#REF!</v>
      </c>
      <c r="E8" s="160" t="e">
        <f>+#REF!+E9+#REF!+#REF!</f>
        <v>#REF!</v>
      </c>
      <c r="F8" s="182"/>
      <c r="G8" s="182"/>
      <c r="H8" s="182"/>
      <c r="I8" s="182"/>
      <c r="J8" s="182">
        <f>J9</f>
        <v>0</v>
      </c>
      <c r="K8" s="183"/>
      <c r="M8" s="10"/>
    </row>
    <row r="9" spans="1:17" ht="14.25" hidden="1" customHeight="1" x14ac:dyDescent="0.25">
      <c r="A9" s="162" t="s">
        <v>162</v>
      </c>
      <c r="B9" s="163" t="s">
        <v>13</v>
      </c>
      <c r="C9" s="164" t="e">
        <f>+C10+C11+#REF!+#REF!+#REF!+#REF!</f>
        <v>#REF!</v>
      </c>
      <c r="D9" s="164" t="e">
        <f>+D10+D11+#REF!+#REF!+#REF!+#REF!</f>
        <v>#REF!</v>
      </c>
      <c r="E9" s="164" t="e">
        <f>+E10+E11+#REF!+#REF!+#REF!+#REF!</f>
        <v>#REF!</v>
      </c>
      <c r="F9" s="184"/>
      <c r="G9" s="184"/>
      <c r="H9" s="184"/>
      <c r="I9" s="184"/>
      <c r="J9" s="184">
        <f>+J10+J11</f>
        <v>0</v>
      </c>
      <c r="K9" s="103"/>
    </row>
    <row r="10" spans="1:17" ht="14.25" hidden="1" customHeight="1" x14ac:dyDescent="0.2">
      <c r="A10" s="166" t="s">
        <v>163</v>
      </c>
      <c r="B10" s="167" t="s">
        <v>12</v>
      </c>
      <c r="C10" s="168">
        <v>990.52</v>
      </c>
      <c r="D10" s="168">
        <v>909.36</v>
      </c>
      <c r="E10" s="168">
        <v>1110.95</v>
      </c>
      <c r="F10" s="185"/>
      <c r="G10" s="185"/>
      <c r="H10" s="185"/>
      <c r="I10" s="185"/>
      <c r="J10" s="185">
        <v>0</v>
      </c>
      <c r="K10" s="103"/>
    </row>
    <row r="11" spans="1:17" ht="14.25" hidden="1" customHeight="1" x14ac:dyDescent="0.2">
      <c r="A11" s="166" t="s">
        <v>164</v>
      </c>
      <c r="B11" s="167" t="s">
        <v>11</v>
      </c>
      <c r="C11" s="168">
        <v>1614.24</v>
      </c>
      <c r="D11" s="168">
        <v>2922.92</v>
      </c>
      <c r="E11" s="168">
        <v>2398.46</v>
      </c>
      <c r="F11" s="185"/>
      <c r="G11" s="185"/>
      <c r="H11" s="185"/>
      <c r="I11" s="185"/>
      <c r="J11" s="185">
        <v>0</v>
      </c>
      <c r="K11" s="103"/>
    </row>
    <row r="12" spans="1:17" s="7" customFormat="1" ht="15.75" hidden="1" x14ac:dyDescent="0.25">
      <c r="A12" s="158" t="s">
        <v>165</v>
      </c>
      <c r="B12" s="159" t="s">
        <v>181</v>
      </c>
      <c r="C12" s="160" t="e">
        <f>+C13+#REF!</f>
        <v>#REF!</v>
      </c>
      <c r="D12" s="160" t="e">
        <f>+D13+#REF!</f>
        <v>#REF!</v>
      </c>
      <c r="E12" s="160" t="e">
        <f>+E13+#REF!</f>
        <v>#REF!</v>
      </c>
      <c r="F12" s="182"/>
      <c r="G12" s="182"/>
      <c r="H12" s="182"/>
      <c r="I12" s="182"/>
      <c r="J12" s="182">
        <f>+J13</f>
        <v>0</v>
      </c>
      <c r="K12" s="183"/>
      <c r="M12" s="10"/>
    </row>
    <row r="13" spans="1:17" ht="15.75" hidden="1" x14ac:dyDescent="0.25">
      <c r="A13" s="169" t="s">
        <v>166</v>
      </c>
      <c r="B13" s="163" t="s">
        <v>10</v>
      </c>
      <c r="C13" s="168" t="e">
        <f>+C14+#REF!+#REF!+#REF!+#REF!+#REF!+#REF!+#REF!+#REF!</f>
        <v>#REF!</v>
      </c>
      <c r="D13" s="168" t="e">
        <f>+D14+#REF!+#REF!+#REF!+#REF!+#REF!+#REF!+#REF!+#REF!</f>
        <v>#REF!</v>
      </c>
      <c r="E13" s="168" t="e">
        <f>+E14+#REF!+#REF!+#REF!+#REF!+#REF!+#REF!+#REF!+#REF!</f>
        <v>#REF!</v>
      </c>
      <c r="F13" s="185"/>
      <c r="G13" s="185"/>
      <c r="H13" s="185"/>
      <c r="I13" s="185"/>
      <c r="J13" s="184">
        <f>+J14+J15</f>
        <v>0</v>
      </c>
      <c r="K13" s="103"/>
    </row>
    <row r="14" spans="1:17" ht="15" hidden="1" x14ac:dyDescent="0.2">
      <c r="A14" s="170" t="s">
        <v>167</v>
      </c>
      <c r="B14" s="167" t="s">
        <v>182</v>
      </c>
      <c r="C14" s="168">
        <v>115</v>
      </c>
      <c r="D14" s="168">
        <v>92</v>
      </c>
      <c r="E14" s="168">
        <v>5</v>
      </c>
      <c r="F14" s="185"/>
      <c r="G14" s="185">
        <v>0</v>
      </c>
      <c r="H14" s="185">
        <v>0</v>
      </c>
      <c r="I14" s="185">
        <v>0</v>
      </c>
      <c r="J14" s="185">
        <v>0</v>
      </c>
      <c r="K14" s="103"/>
      <c r="M14" s="1"/>
    </row>
    <row r="15" spans="1:17" ht="15" hidden="1" x14ac:dyDescent="0.2">
      <c r="A15" s="170" t="s">
        <v>183</v>
      </c>
      <c r="B15" s="167" t="s">
        <v>84</v>
      </c>
      <c r="C15" s="168">
        <v>361.21</v>
      </c>
      <c r="D15" s="168">
        <v>299.95</v>
      </c>
      <c r="E15" s="168">
        <v>444.58</v>
      </c>
      <c r="F15" s="185"/>
      <c r="G15" s="185"/>
      <c r="H15" s="185"/>
      <c r="I15" s="185"/>
      <c r="J15" s="185">
        <v>0</v>
      </c>
      <c r="K15" s="103"/>
      <c r="L15" s="149"/>
      <c r="M15" s="150"/>
      <c r="N15" s="151"/>
      <c r="O15" s="151"/>
      <c r="P15" s="151"/>
      <c r="Q15" s="151"/>
    </row>
    <row r="16" spans="1:17" ht="15.75" x14ac:dyDescent="0.25">
      <c r="A16" s="170"/>
      <c r="B16" s="156" t="s">
        <v>184</v>
      </c>
      <c r="C16" s="168"/>
      <c r="D16" s="168"/>
      <c r="E16" s="168"/>
      <c r="F16" s="185"/>
      <c r="G16" s="185"/>
      <c r="H16" s="185"/>
      <c r="I16" s="185"/>
      <c r="J16" s="185"/>
      <c r="K16" s="103"/>
      <c r="L16" s="149"/>
      <c r="M16" s="290"/>
      <c r="N16" s="151"/>
      <c r="O16" s="151"/>
      <c r="P16" s="151"/>
      <c r="Q16" s="151"/>
    </row>
    <row r="17" spans="1:14" s="7" customFormat="1" ht="15.75" hidden="1" x14ac:dyDescent="0.25">
      <c r="A17" s="158" t="s">
        <v>168</v>
      </c>
      <c r="B17" s="159" t="s">
        <v>185</v>
      </c>
      <c r="C17" s="160" t="e">
        <f>+#REF!+C20+#REF!+#REF!</f>
        <v>#REF!</v>
      </c>
      <c r="D17" s="160" t="e">
        <f>+#REF!+D20+#REF!+#REF!</f>
        <v>#REF!</v>
      </c>
      <c r="E17" s="160" t="e">
        <f>+#REF!+E20+#REF!+#REF!</f>
        <v>#REF!</v>
      </c>
      <c r="F17" s="182"/>
      <c r="G17" s="182"/>
      <c r="H17" s="182"/>
      <c r="I17" s="182"/>
      <c r="J17" s="182">
        <f>J18+J20</f>
        <v>0</v>
      </c>
      <c r="K17" s="183"/>
      <c r="M17" s="10"/>
    </row>
    <row r="18" spans="1:14" s="7" customFormat="1" ht="15.75" hidden="1" x14ac:dyDescent="0.25">
      <c r="A18" s="169" t="s">
        <v>186</v>
      </c>
      <c r="B18" s="163" t="s">
        <v>187</v>
      </c>
      <c r="C18" s="160"/>
      <c r="D18" s="160"/>
      <c r="E18" s="160"/>
      <c r="F18" s="182"/>
      <c r="G18" s="182"/>
      <c r="H18" s="182"/>
      <c r="I18" s="182"/>
      <c r="J18" s="184">
        <f>J19</f>
        <v>0</v>
      </c>
      <c r="K18" s="183"/>
      <c r="M18" s="10"/>
    </row>
    <row r="19" spans="1:14" s="7" customFormat="1" ht="15.75" hidden="1" x14ac:dyDescent="0.25">
      <c r="A19" s="170" t="s">
        <v>188</v>
      </c>
      <c r="B19" s="167" t="s">
        <v>189</v>
      </c>
      <c r="C19" s="160"/>
      <c r="D19" s="160"/>
      <c r="E19" s="160"/>
      <c r="F19" s="182"/>
      <c r="G19" s="182">
        <v>0</v>
      </c>
      <c r="H19" s="182">
        <v>0</v>
      </c>
      <c r="I19" s="182">
        <v>0</v>
      </c>
      <c r="J19" s="185">
        <v>0</v>
      </c>
      <c r="K19" s="183"/>
      <c r="M19" s="10"/>
    </row>
    <row r="20" spans="1:14" s="2" customFormat="1" ht="15.75" hidden="1" x14ac:dyDescent="0.25">
      <c r="A20" s="169" t="s">
        <v>169</v>
      </c>
      <c r="B20" s="163" t="s">
        <v>9</v>
      </c>
      <c r="C20" s="164" t="e">
        <f>+#REF!+#REF!+C21</f>
        <v>#REF!</v>
      </c>
      <c r="D20" s="164" t="e">
        <f>+#REF!+#REF!+D21</f>
        <v>#REF!</v>
      </c>
      <c r="E20" s="164" t="e">
        <f>+#REF!+#REF!+E21</f>
        <v>#REF!</v>
      </c>
      <c r="F20" s="184"/>
      <c r="G20" s="184"/>
      <c r="H20" s="184"/>
      <c r="I20" s="184"/>
      <c r="J20" s="184">
        <f>J21</f>
        <v>0</v>
      </c>
      <c r="K20" s="116"/>
      <c r="L20" s="11"/>
      <c r="M20" s="11"/>
      <c r="N20" s="11"/>
    </row>
    <row r="21" spans="1:14" ht="15" hidden="1" x14ac:dyDescent="0.2">
      <c r="A21" s="170" t="s">
        <v>170</v>
      </c>
      <c r="B21" s="167" t="s">
        <v>8</v>
      </c>
      <c r="C21" s="168" t="e">
        <f>SUM(#REF!)</f>
        <v>#REF!</v>
      </c>
      <c r="D21" s="168" t="e">
        <f>SUM(#REF!)</f>
        <v>#REF!</v>
      </c>
      <c r="E21" s="168" t="e">
        <f>SUM(#REF!)</f>
        <v>#REF!</v>
      </c>
      <c r="F21" s="185"/>
      <c r="G21" s="185"/>
      <c r="H21" s="185"/>
      <c r="I21" s="185"/>
      <c r="J21" s="185">
        <v>0</v>
      </c>
      <c r="K21" s="103"/>
    </row>
    <row r="22" spans="1:14" s="7" customFormat="1" ht="31.5" x14ac:dyDescent="0.25">
      <c r="A22" s="158">
        <v>1.8</v>
      </c>
      <c r="B22" s="159" t="s">
        <v>190</v>
      </c>
      <c r="C22" s="160" t="e">
        <f>+C25+#REF!+#REF!</f>
        <v>#REF!</v>
      </c>
      <c r="D22" s="160" t="e">
        <f>+D25</f>
        <v>#REF!</v>
      </c>
      <c r="E22" s="160" t="e">
        <f>+E25</f>
        <v>#REF!</v>
      </c>
      <c r="F22" s="161">
        <f t="shared" ref="F22:K22" si="0">+F23</f>
        <v>49032.14</v>
      </c>
      <c r="G22" s="161">
        <f t="shared" si="0"/>
        <v>49000</v>
      </c>
      <c r="H22" s="161">
        <f t="shared" si="0"/>
        <v>45336.68</v>
      </c>
      <c r="I22" s="161">
        <f t="shared" si="0"/>
        <v>46860.61</v>
      </c>
      <c r="J22" s="182">
        <f t="shared" si="0"/>
        <v>47480.813333333332</v>
      </c>
      <c r="K22" s="160">
        <f t="shared" si="0"/>
        <v>60180</v>
      </c>
      <c r="M22" s="10"/>
    </row>
    <row r="23" spans="1:14" s="7" customFormat="1" ht="31.5" x14ac:dyDescent="0.25">
      <c r="A23" s="169" t="s">
        <v>201</v>
      </c>
      <c r="B23" s="163" t="s">
        <v>202</v>
      </c>
      <c r="C23" s="160"/>
      <c r="D23" s="160"/>
      <c r="E23" s="160"/>
      <c r="F23" s="165">
        <f t="shared" ref="F23:K23" si="1">+F24+F25</f>
        <v>49032.14</v>
      </c>
      <c r="G23" s="165">
        <f t="shared" si="1"/>
        <v>49000</v>
      </c>
      <c r="H23" s="165">
        <f t="shared" si="1"/>
        <v>45336.68</v>
      </c>
      <c r="I23" s="165">
        <f t="shared" si="1"/>
        <v>46860.61</v>
      </c>
      <c r="J23" s="184">
        <f t="shared" si="1"/>
        <v>47480.813333333332</v>
      </c>
      <c r="K23" s="164">
        <f t="shared" si="1"/>
        <v>60180</v>
      </c>
      <c r="M23" s="10"/>
    </row>
    <row r="24" spans="1:14" s="7" customFormat="1" ht="15.75" x14ac:dyDescent="0.25">
      <c r="A24" s="170" t="s">
        <v>256</v>
      </c>
      <c r="B24" s="167" t="s">
        <v>257</v>
      </c>
      <c r="C24" s="160"/>
      <c r="D24" s="160"/>
      <c r="E24" s="160"/>
      <c r="F24" s="185">
        <v>4032.14</v>
      </c>
      <c r="G24" s="185">
        <v>4000</v>
      </c>
      <c r="H24" s="185"/>
      <c r="I24" s="185"/>
      <c r="J24" s="185">
        <v>0</v>
      </c>
      <c r="K24" s="186"/>
      <c r="M24" s="10"/>
    </row>
    <row r="25" spans="1:14" s="2" customFormat="1" ht="16.5" customHeight="1" x14ac:dyDescent="0.2">
      <c r="A25" s="170" t="s">
        <v>191</v>
      </c>
      <c r="B25" s="167" t="s">
        <v>192</v>
      </c>
      <c r="C25" s="168" t="e">
        <f>+#REF!</f>
        <v>#REF!</v>
      </c>
      <c r="D25" s="168" t="e">
        <f>+#REF!+#REF!</f>
        <v>#REF!</v>
      </c>
      <c r="E25" s="168" t="e">
        <f>+#REF!+#REF!</f>
        <v>#REF!</v>
      </c>
      <c r="F25" s="185">
        <v>45000</v>
      </c>
      <c r="G25" s="185">
        <v>45000</v>
      </c>
      <c r="H25" s="185">
        <v>45336.68</v>
      </c>
      <c r="I25" s="185">
        <v>46860.61</v>
      </c>
      <c r="J25" s="185">
        <f>+((+(G25-F25)+(H25-G25)+(I25-H25))/3+I25)</f>
        <v>47480.813333333332</v>
      </c>
      <c r="K25" s="185">
        <v>60180</v>
      </c>
      <c r="L25" s="5"/>
      <c r="M25" s="11"/>
    </row>
    <row r="26" spans="1:14" s="7" customFormat="1" ht="15.75" x14ac:dyDescent="0.25">
      <c r="A26" s="158">
        <v>1.9</v>
      </c>
      <c r="B26" s="159" t="s">
        <v>193</v>
      </c>
      <c r="C26" s="160" t="e">
        <f>+#REF!</f>
        <v>#REF!</v>
      </c>
      <c r="D26" s="160" t="e">
        <f>+#REF!</f>
        <v>#REF!</v>
      </c>
      <c r="E26" s="160" t="e">
        <f>+#REF!</f>
        <v>#REF!</v>
      </c>
      <c r="F26" s="182">
        <f>+F27</f>
        <v>815.87</v>
      </c>
      <c r="G26" s="182">
        <f t="shared" ref="G26:K27" si="2">+G27</f>
        <v>4722.07</v>
      </c>
      <c r="H26" s="182">
        <f t="shared" si="2"/>
        <v>381.21</v>
      </c>
      <c r="I26" s="182">
        <f t="shared" si="2"/>
        <v>381.21</v>
      </c>
      <c r="J26" s="182">
        <f t="shared" si="2"/>
        <v>236.32333333333335</v>
      </c>
      <c r="K26" s="160">
        <f t="shared" si="2"/>
        <v>2500</v>
      </c>
      <c r="L26" s="255"/>
      <c r="M26" s="10"/>
    </row>
    <row r="27" spans="1:14" s="3" customFormat="1" ht="15.75" x14ac:dyDescent="0.25">
      <c r="A27" s="169" t="s">
        <v>171</v>
      </c>
      <c r="B27" s="163" t="s">
        <v>249</v>
      </c>
      <c r="C27" s="164">
        <f>+C28</f>
        <v>1401.77</v>
      </c>
      <c r="D27" s="164">
        <f>+D28</f>
        <v>365.16</v>
      </c>
      <c r="E27" s="164">
        <f>+E28</f>
        <v>25818.79</v>
      </c>
      <c r="F27" s="184">
        <f>+F28</f>
        <v>815.87</v>
      </c>
      <c r="G27" s="184">
        <f t="shared" si="2"/>
        <v>4722.07</v>
      </c>
      <c r="H27" s="184">
        <f t="shared" si="2"/>
        <v>381.21</v>
      </c>
      <c r="I27" s="184">
        <f t="shared" si="2"/>
        <v>381.21</v>
      </c>
      <c r="J27" s="184">
        <f t="shared" si="2"/>
        <v>236.32333333333335</v>
      </c>
      <c r="K27" s="164">
        <f t="shared" si="2"/>
        <v>2500</v>
      </c>
      <c r="L27" s="364"/>
      <c r="M27" s="365"/>
    </row>
    <row r="28" spans="1:14" ht="15" x14ac:dyDescent="0.2">
      <c r="A28" s="170" t="s">
        <v>172</v>
      </c>
      <c r="B28" s="167" t="s">
        <v>6</v>
      </c>
      <c r="C28" s="168">
        <v>1401.77</v>
      </c>
      <c r="D28" s="168">
        <v>365.16</v>
      </c>
      <c r="E28" s="168">
        <v>25818.79</v>
      </c>
      <c r="F28" s="185">
        <v>815.87</v>
      </c>
      <c r="G28" s="185">
        <v>4722.07</v>
      </c>
      <c r="H28" s="185">
        <v>381.21</v>
      </c>
      <c r="I28" s="185">
        <v>381.21</v>
      </c>
      <c r="J28" s="185">
        <f>+((+(G28-F28)+(H28-G28)+(I28-H28))/3+I28)</f>
        <v>236.32333333333335</v>
      </c>
      <c r="K28" s="185">
        <v>2500</v>
      </c>
      <c r="L28" s="2"/>
      <c r="M28" s="11"/>
    </row>
    <row r="29" spans="1:14" s="2" customFormat="1" ht="15.75" x14ac:dyDescent="0.25">
      <c r="A29" s="155">
        <v>2</v>
      </c>
      <c r="B29" s="156" t="s">
        <v>5</v>
      </c>
      <c r="C29" s="168"/>
      <c r="D29" s="168"/>
      <c r="E29" s="168"/>
      <c r="F29" s="180">
        <f>+F30+F40</f>
        <v>2167.52</v>
      </c>
      <c r="G29" s="180">
        <f>+G30+G40</f>
        <v>9988</v>
      </c>
      <c r="H29" s="180">
        <f>+H30+H40</f>
        <v>30500</v>
      </c>
      <c r="I29" s="180">
        <f>+I30+I40</f>
        <v>30500</v>
      </c>
      <c r="J29" s="180">
        <f>+J30</f>
        <v>62187.960000000006</v>
      </c>
      <c r="K29" s="157">
        <f>+K30</f>
        <v>304942.41000000003</v>
      </c>
      <c r="L29" s="5"/>
      <c r="M29" s="11"/>
    </row>
    <row r="30" spans="1:14" s="2" customFormat="1" ht="31.5" x14ac:dyDescent="0.25">
      <c r="A30" s="158">
        <v>2.8</v>
      </c>
      <c r="B30" s="159" t="s">
        <v>194</v>
      </c>
      <c r="C30" s="168"/>
      <c r="D30" s="168"/>
      <c r="E30" s="168"/>
      <c r="F30" s="182">
        <f>+F31+F38</f>
        <v>2167.52</v>
      </c>
      <c r="G30" s="182">
        <f>+G31+G38</f>
        <v>9988</v>
      </c>
      <c r="H30" s="182">
        <f>+H31+H38</f>
        <v>30500</v>
      </c>
      <c r="I30" s="182">
        <f>+I31+I38</f>
        <v>30500</v>
      </c>
      <c r="J30" s="182">
        <f>+J31+J38</f>
        <v>62187.960000000006</v>
      </c>
      <c r="K30" s="160">
        <f>+K31</f>
        <v>304942.41000000003</v>
      </c>
      <c r="L30" s="5"/>
      <c r="M30" s="11"/>
    </row>
    <row r="31" spans="1:14" s="2" customFormat="1" ht="31.5" x14ac:dyDescent="0.25">
      <c r="A31" s="169" t="s">
        <v>173</v>
      </c>
      <c r="B31" s="163" t="s">
        <v>174</v>
      </c>
      <c r="C31" s="168"/>
      <c r="D31" s="168"/>
      <c r="E31" s="168"/>
      <c r="F31" s="184">
        <f>+F33</f>
        <v>2167.52</v>
      </c>
      <c r="G31" s="184">
        <f>+G33</f>
        <v>9988</v>
      </c>
      <c r="H31" s="184">
        <f>+H33</f>
        <v>30500</v>
      </c>
      <c r="I31" s="184">
        <f>+I33</f>
        <v>30500</v>
      </c>
      <c r="J31" s="164">
        <f>SUM(J32:J33)</f>
        <v>62187.960000000006</v>
      </c>
      <c r="K31" s="164">
        <f>SUM(K32:K33)+K36+K39</f>
        <v>304942.41000000003</v>
      </c>
      <c r="L31" s="5"/>
      <c r="M31" s="11"/>
    </row>
    <row r="32" spans="1:14" s="2" customFormat="1" ht="15" x14ac:dyDescent="0.2">
      <c r="A32" s="170" t="s">
        <v>471</v>
      </c>
      <c r="B32" s="167" t="s">
        <v>484</v>
      </c>
      <c r="C32" s="168"/>
      <c r="D32" s="168"/>
      <c r="E32" s="168"/>
      <c r="F32" s="185"/>
      <c r="G32" s="185"/>
      <c r="H32" s="185"/>
      <c r="I32" s="185"/>
      <c r="J32" s="168">
        <v>22243.8</v>
      </c>
      <c r="K32" s="168">
        <v>69409.5</v>
      </c>
      <c r="L32" s="5"/>
      <c r="M32" s="11"/>
    </row>
    <row r="33" spans="1:13" s="2" customFormat="1" ht="15" x14ac:dyDescent="0.2">
      <c r="A33" s="170" t="s">
        <v>196</v>
      </c>
      <c r="B33" s="167" t="s">
        <v>197</v>
      </c>
      <c r="C33" s="168"/>
      <c r="D33" s="168"/>
      <c r="E33" s="168"/>
      <c r="F33" s="185">
        <v>2167.52</v>
      </c>
      <c r="G33" s="185">
        <v>9988</v>
      </c>
      <c r="H33" s="185">
        <f>500+30000</f>
        <v>30500</v>
      </c>
      <c r="I33" s="185">
        <f>500+30000</f>
        <v>30500</v>
      </c>
      <c r="J33" s="185">
        <f>+((+(G33-F33)+(H33-G33)+(I33-H33))/3+I33)</f>
        <v>39944.160000000003</v>
      </c>
      <c r="K33" s="11">
        <v>133680</v>
      </c>
      <c r="L33" s="5"/>
      <c r="M33" s="11"/>
    </row>
    <row r="34" spans="1:13" s="2" customFormat="1" ht="15" x14ac:dyDescent="0.2">
      <c r="A34" s="170"/>
      <c r="B34" s="167"/>
      <c r="C34" s="168"/>
      <c r="D34" s="168"/>
      <c r="E34" s="168"/>
      <c r="F34" s="185"/>
      <c r="G34" s="185"/>
      <c r="H34" s="185"/>
      <c r="I34" s="185"/>
      <c r="J34" s="185"/>
      <c r="K34" s="187"/>
      <c r="M34" s="11"/>
    </row>
    <row r="35" spans="1:13" s="2" customFormat="1" ht="15" x14ac:dyDescent="0.2">
      <c r="A35" s="170"/>
      <c r="B35" s="347"/>
      <c r="C35" s="348"/>
      <c r="D35" s="348"/>
      <c r="E35" s="348"/>
      <c r="F35" s="349"/>
      <c r="G35" s="349"/>
      <c r="H35" s="349"/>
      <c r="I35" s="349"/>
      <c r="J35" s="349"/>
      <c r="K35" s="350"/>
      <c r="M35" s="11"/>
    </row>
    <row r="36" spans="1:13" s="2" customFormat="1" ht="15.75" x14ac:dyDescent="0.25">
      <c r="A36" s="170" t="s">
        <v>551</v>
      </c>
      <c r="B36" s="347" t="s">
        <v>581</v>
      </c>
      <c r="C36" s="348"/>
      <c r="D36" s="348"/>
      <c r="E36" s="348"/>
      <c r="F36" s="349"/>
      <c r="G36" s="349"/>
      <c r="H36" s="349"/>
      <c r="I36" s="349"/>
      <c r="J36" s="349"/>
      <c r="K36" s="359">
        <v>2689</v>
      </c>
      <c r="M36" s="11"/>
    </row>
    <row r="37" spans="1:13" s="2" customFormat="1" ht="15" x14ac:dyDescent="0.2">
      <c r="A37" s="170" t="s">
        <v>552</v>
      </c>
      <c r="B37" s="347" t="s">
        <v>582</v>
      </c>
      <c r="C37" s="348"/>
      <c r="D37" s="348"/>
      <c r="E37" s="348"/>
      <c r="F37" s="349"/>
      <c r="G37" s="349"/>
      <c r="H37" s="349"/>
      <c r="I37" s="349"/>
      <c r="J37" s="349"/>
      <c r="K37" s="350">
        <v>2689</v>
      </c>
      <c r="M37" s="11"/>
    </row>
    <row r="38" spans="1:13" s="2" customFormat="1" ht="15.75" customHeight="1" x14ac:dyDescent="0.2">
      <c r="A38" s="170"/>
      <c r="B38" s="347"/>
      <c r="C38" s="348"/>
      <c r="D38" s="348"/>
      <c r="E38" s="348"/>
      <c r="F38" s="349"/>
      <c r="G38" s="349"/>
      <c r="H38" s="349"/>
      <c r="I38" s="349"/>
      <c r="J38" s="349"/>
      <c r="K38" s="263"/>
      <c r="L38" s="5"/>
      <c r="M38" s="11"/>
    </row>
    <row r="39" spans="1:13" s="2" customFormat="1" ht="15.75" customHeight="1" x14ac:dyDescent="0.2">
      <c r="A39" s="170" t="s">
        <v>195</v>
      </c>
      <c r="B39" s="167" t="s">
        <v>192</v>
      </c>
      <c r="C39" s="168"/>
      <c r="D39" s="168"/>
      <c r="E39" s="168"/>
      <c r="F39" s="185">
        <v>52726.05</v>
      </c>
      <c r="G39" s="185">
        <v>104098.33</v>
      </c>
      <c r="H39" s="185">
        <v>105808.94</v>
      </c>
      <c r="I39" s="185">
        <v>109341.42</v>
      </c>
      <c r="J39" s="185">
        <f>+((+(G39-F39)+(H39-G39)+(I39-H39))/3+I39)</f>
        <v>128213.20999999999</v>
      </c>
      <c r="K39" s="185">
        <v>99163.91</v>
      </c>
      <c r="L39" s="5"/>
      <c r="M39" s="11"/>
    </row>
    <row r="40" spans="1:13" ht="15.75" customHeight="1" x14ac:dyDescent="0.25">
      <c r="A40" s="158">
        <v>2.8</v>
      </c>
      <c r="B40" s="159" t="s">
        <v>203</v>
      </c>
      <c r="C40" s="168"/>
      <c r="D40" s="168"/>
      <c r="E40" s="168"/>
      <c r="F40" s="185"/>
      <c r="G40" s="185"/>
      <c r="H40" s="185"/>
      <c r="I40" s="185"/>
      <c r="J40" s="185"/>
      <c r="K40" s="263"/>
      <c r="L40" s="2"/>
      <c r="M40" s="11"/>
    </row>
    <row r="41" spans="1:13" ht="16.5" customHeight="1" x14ac:dyDescent="0.25">
      <c r="A41" s="169" t="s">
        <v>199</v>
      </c>
      <c r="B41" s="163" t="s">
        <v>200</v>
      </c>
      <c r="C41" s="168"/>
      <c r="D41" s="168"/>
      <c r="E41" s="168"/>
      <c r="F41" s="185"/>
      <c r="G41" s="185"/>
      <c r="H41" s="185"/>
      <c r="I41" s="185"/>
      <c r="J41" s="185"/>
      <c r="K41" s="263"/>
      <c r="L41" s="2"/>
      <c r="M41" s="11"/>
    </row>
    <row r="42" spans="1:13" ht="16.5" customHeight="1" x14ac:dyDescent="0.2">
      <c r="A42" s="170" t="s">
        <v>198</v>
      </c>
      <c r="B42" s="167" t="s">
        <v>4</v>
      </c>
      <c r="C42" s="168"/>
      <c r="D42" s="168"/>
      <c r="E42" s="168"/>
      <c r="F42" s="185"/>
      <c r="G42" s="185"/>
      <c r="H42" s="185"/>
      <c r="I42" s="185"/>
      <c r="J42" s="185">
        <v>0</v>
      </c>
      <c r="K42" s="263"/>
      <c r="L42" s="2"/>
      <c r="M42" s="11"/>
    </row>
    <row r="43" spans="1:13" s="8" customFormat="1" ht="16.5" customHeight="1" x14ac:dyDescent="0.25">
      <c r="A43" s="155">
        <v>3</v>
      </c>
      <c r="B43" s="171" t="s">
        <v>3</v>
      </c>
      <c r="C43" s="171" t="e">
        <f>+#REF!+#REF!+#REF!</f>
        <v>#REF!</v>
      </c>
      <c r="D43" s="171" t="e">
        <f>+#REF!+#REF!+D45</f>
        <v>#REF!</v>
      </c>
      <c r="E43" s="171" t="e">
        <f>+#REF!+#REF!+E45</f>
        <v>#REF!</v>
      </c>
      <c r="F43" s="171"/>
      <c r="G43" s="171"/>
      <c r="H43" s="171"/>
      <c r="I43" s="171"/>
      <c r="J43" s="188">
        <f>+J44+J49</f>
        <v>0</v>
      </c>
      <c r="K43" s="264">
        <f>+K44+K49</f>
        <v>129424.37</v>
      </c>
      <c r="M43" s="9"/>
    </row>
    <row r="44" spans="1:13" s="7" customFormat="1" ht="16.5" customHeight="1" x14ac:dyDescent="0.25">
      <c r="A44" s="158">
        <v>3.7</v>
      </c>
      <c r="B44" s="172" t="s">
        <v>2</v>
      </c>
      <c r="C44" s="172"/>
      <c r="D44" s="172"/>
      <c r="E44" s="172"/>
      <c r="F44" s="189"/>
      <c r="G44" s="189"/>
      <c r="H44" s="189"/>
      <c r="I44" s="189"/>
      <c r="J44" s="265">
        <f>+J45</f>
        <v>0</v>
      </c>
      <c r="K44" s="265">
        <f>+K45</f>
        <v>98410.91</v>
      </c>
      <c r="M44" s="10"/>
    </row>
    <row r="45" spans="1:13" s="7" customFormat="1" ht="16.5" customHeight="1" x14ac:dyDescent="0.25">
      <c r="A45" s="169" t="s">
        <v>175</v>
      </c>
      <c r="B45" s="163" t="s">
        <v>1</v>
      </c>
      <c r="C45" s="160">
        <f>+C47</f>
        <v>31450.27</v>
      </c>
      <c r="D45" s="160">
        <v>292216.34000000003</v>
      </c>
      <c r="E45" s="160">
        <v>86536.16</v>
      </c>
      <c r="F45" s="182"/>
      <c r="G45" s="182"/>
      <c r="H45" s="182"/>
      <c r="I45" s="182"/>
      <c r="J45" s="266">
        <f>+J46</f>
        <v>0</v>
      </c>
      <c r="K45" s="266">
        <f>+K46+K48</f>
        <v>98410.91</v>
      </c>
      <c r="L45" s="145"/>
      <c r="M45" s="10"/>
    </row>
    <row r="46" spans="1:13" s="7" customFormat="1" ht="16.5" customHeight="1" x14ac:dyDescent="0.25">
      <c r="A46" s="169" t="s">
        <v>383</v>
      </c>
      <c r="B46" s="167" t="s">
        <v>384</v>
      </c>
      <c r="C46" s="287"/>
      <c r="D46" s="287"/>
      <c r="E46" s="287"/>
      <c r="F46" s="288"/>
      <c r="G46" s="288"/>
      <c r="H46" s="288"/>
      <c r="I46" s="288"/>
      <c r="J46" s="185">
        <v>0</v>
      </c>
      <c r="K46" s="267">
        <v>98410.91</v>
      </c>
      <c r="L46" s="145"/>
      <c r="M46" s="10"/>
    </row>
    <row r="47" spans="1:13" ht="16.5" customHeight="1" x14ac:dyDescent="0.2">
      <c r="A47" s="170" t="s">
        <v>378</v>
      </c>
      <c r="B47" s="167" t="s">
        <v>253</v>
      </c>
      <c r="C47" s="168">
        <v>31450.27</v>
      </c>
      <c r="D47" s="168">
        <v>31450.27</v>
      </c>
      <c r="E47" s="168">
        <v>31450.27</v>
      </c>
      <c r="F47" s="185"/>
      <c r="G47" s="185"/>
      <c r="H47" s="185"/>
      <c r="I47" s="185"/>
      <c r="J47" s="185"/>
      <c r="K47" s="263"/>
      <c r="L47" s="144"/>
    </row>
    <row r="48" spans="1:13" ht="16.5" customHeight="1" x14ac:dyDescent="0.2">
      <c r="A48" s="170" t="s">
        <v>458</v>
      </c>
      <c r="B48" s="167" t="s">
        <v>459</v>
      </c>
      <c r="C48" s="168"/>
      <c r="D48" s="168"/>
      <c r="E48" s="168"/>
      <c r="F48" s="185"/>
      <c r="G48" s="185"/>
      <c r="H48" s="185"/>
      <c r="I48" s="185"/>
      <c r="J48" s="185"/>
      <c r="K48" s="263"/>
      <c r="L48" s="144"/>
    </row>
    <row r="49" spans="1:15" ht="15.75" customHeight="1" x14ac:dyDescent="0.25">
      <c r="A49" s="158">
        <v>3.8</v>
      </c>
      <c r="B49" s="172" t="s">
        <v>176</v>
      </c>
      <c r="C49" s="172"/>
      <c r="D49" s="172"/>
      <c r="E49" s="172"/>
      <c r="F49" s="189"/>
      <c r="G49" s="189"/>
      <c r="H49" s="189"/>
      <c r="I49" s="189"/>
      <c r="J49" s="190">
        <f>+J50</f>
        <v>0</v>
      </c>
      <c r="K49" s="265">
        <f>+K50</f>
        <v>31013.46</v>
      </c>
    </row>
    <row r="50" spans="1:15" ht="15.75" customHeight="1" x14ac:dyDescent="0.25">
      <c r="A50" s="169" t="s">
        <v>177</v>
      </c>
      <c r="B50" s="163" t="s">
        <v>176</v>
      </c>
      <c r="C50" s="160">
        <f>+C51</f>
        <v>31450.27</v>
      </c>
      <c r="D50" s="160">
        <v>292216.34000000003</v>
      </c>
      <c r="E50" s="160">
        <v>86536.16</v>
      </c>
      <c r="F50" s="182"/>
      <c r="G50" s="182"/>
      <c r="H50" s="182"/>
      <c r="I50" s="182"/>
      <c r="J50" s="184">
        <f>SUM(J51:J52)</f>
        <v>0</v>
      </c>
      <c r="K50" s="268">
        <f>SUM(K51:K52)</f>
        <v>31013.46</v>
      </c>
      <c r="L50" s="143"/>
    </row>
    <row r="51" spans="1:15" ht="15.75" customHeight="1" x14ac:dyDescent="0.2">
      <c r="A51" s="170" t="s">
        <v>178</v>
      </c>
      <c r="B51" s="167" t="s">
        <v>386</v>
      </c>
      <c r="C51" s="168">
        <v>31450.27</v>
      </c>
      <c r="D51" s="168">
        <v>31450.27</v>
      </c>
      <c r="E51" s="168">
        <v>31450.27</v>
      </c>
      <c r="F51" s="185"/>
      <c r="G51" s="185"/>
      <c r="H51" s="185"/>
      <c r="I51" s="185"/>
      <c r="J51" s="263">
        <v>0</v>
      </c>
      <c r="K51" s="263">
        <v>31013.46</v>
      </c>
      <c r="L51" s="143"/>
      <c r="O51" s="1" t="s">
        <v>511</v>
      </c>
    </row>
    <row r="52" spans="1:15" ht="15" x14ac:dyDescent="0.2">
      <c r="A52" s="170" t="s">
        <v>385</v>
      </c>
      <c r="B52" s="103" t="s">
        <v>387</v>
      </c>
      <c r="C52" s="173"/>
      <c r="D52" s="173"/>
      <c r="E52" s="173"/>
      <c r="F52" s="191"/>
      <c r="G52" s="191"/>
      <c r="H52" s="191"/>
      <c r="I52" s="191"/>
      <c r="J52" s="263">
        <v>0</v>
      </c>
      <c r="K52" s="263">
        <v>0</v>
      </c>
    </row>
    <row r="53" spans="1:15" ht="15" x14ac:dyDescent="0.2">
      <c r="A53" s="170"/>
      <c r="B53" s="103"/>
      <c r="C53" s="173"/>
      <c r="D53" s="173"/>
      <c r="E53" s="173"/>
      <c r="F53" s="191"/>
      <c r="G53" s="191"/>
      <c r="H53" s="191"/>
      <c r="I53" s="191"/>
      <c r="J53" s="191"/>
      <c r="K53" s="263"/>
    </row>
    <row r="54" spans="1:15" ht="15" hidden="1" x14ac:dyDescent="0.2">
      <c r="A54" s="103"/>
      <c r="B54" s="103"/>
      <c r="C54" s="168"/>
      <c r="D54" s="168"/>
      <c r="E54" s="168"/>
      <c r="F54" s="168"/>
      <c r="G54" s="168"/>
      <c r="H54" s="168"/>
      <c r="I54" s="168"/>
      <c r="J54" s="185"/>
      <c r="K54" s="103"/>
      <c r="L54" s="143"/>
    </row>
    <row r="55" spans="1:15" ht="15" hidden="1" x14ac:dyDescent="0.2">
      <c r="A55" s="103"/>
      <c r="B55" s="103"/>
      <c r="C55" s="168"/>
      <c r="D55" s="168"/>
      <c r="E55" s="168"/>
      <c r="F55" s="168"/>
      <c r="G55" s="168"/>
      <c r="H55" s="168"/>
      <c r="I55" s="168"/>
      <c r="J55" s="185"/>
      <c r="K55" s="103"/>
      <c r="L55" s="143"/>
    </row>
    <row r="56" spans="1:15" ht="15" hidden="1" x14ac:dyDescent="0.2">
      <c r="A56" s="103"/>
      <c r="B56" s="103"/>
      <c r="C56" s="168"/>
      <c r="D56" s="168"/>
      <c r="E56" s="168"/>
      <c r="F56" s="168"/>
      <c r="G56" s="168"/>
      <c r="H56" s="168"/>
      <c r="I56" s="168"/>
      <c r="J56" s="185"/>
      <c r="K56" s="103"/>
      <c r="L56" s="143"/>
    </row>
    <row r="57" spans="1:15" ht="15" hidden="1" x14ac:dyDescent="0.2">
      <c r="A57" s="103"/>
      <c r="B57" s="103"/>
      <c r="C57" s="168"/>
      <c r="D57" s="168"/>
      <c r="E57" s="168"/>
      <c r="F57" s="168"/>
      <c r="G57" s="168"/>
      <c r="H57" s="168"/>
      <c r="I57" s="168"/>
      <c r="J57" s="185"/>
      <c r="K57" s="103"/>
      <c r="L57" s="143"/>
    </row>
    <row r="58" spans="1:15" s="3" customFormat="1" ht="16.5" thickBot="1" x14ac:dyDescent="0.3">
      <c r="A58" s="174"/>
      <c r="B58" s="175" t="s">
        <v>0</v>
      </c>
      <c r="C58" s="176" t="e">
        <f>+C43+#REF!+C6</f>
        <v>#REF!</v>
      </c>
      <c r="D58" s="176" t="e">
        <f>+D43+#REF!+D6</f>
        <v>#REF!</v>
      </c>
      <c r="E58" s="176" t="e">
        <f>+E43+#REF!+E6</f>
        <v>#REF!</v>
      </c>
      <c r="F58" s="192">
        <f>+F6+F29</f>
        <v>2167.52</v>
      </c>
      <c r="G58" s="192">
        <f>+G6+G29</f>
        <v>9988</v>
      </c>
      <c r="H58" s="192">
        <f>+H6+H29</f>
        <v>30500</v>
      </c>
      <c r="I58" s="192">
        <f>+I6+I29</f>
        <v>30500</v>
      </c>
      <c r="J58" s="164">
        <f>+J43+J29+J6</f>
        <v>109905.09666666668</v>
      </c>
      <c r="K58" s="164">
        <f>+K43+K29+K6</f>
        <v>497046.78</v>
      </c>
      <c r="L58" s="146"/>
      <c r="M58" s="6"/>
    </row>
    <row r="59" spans="1:15" ht="15" thickTop="1" x14ac:dyDescent="0.2">
      <c r="E59" s="5"/>
      <c r="F59" s="5"/>
      <c r="G59" s="5"/>
      <c r="H59" s="5"/>
      <c r="I59" s="5"/>
      <c r="J59" s="5"/>
      <c r="K59" s="251"/>
    </row>
    <row r="60" spans="1:15" x14ac:dyDescent="0.2">
      <c r="E60" s="5"/>
      <c r="F60" s="5"/>
      <c r="G60" s="5"/>
      <c r="H60" s="5"/>
      <c r="I60" s="5"/>
      <c r="J60" s="5">
        <f>+K58-J58</f>
        <v>387141.68333333335</v>
      </c>
      <c r="L60" s="4"/>
    </row>
    <row r="61" spans="1:15" x14ac:dyDescent="0.2">
      <c r="D61" s="5"/>
    </row>
    <row r="62" spans="1:15" x14ac:dyDescent="0.2">
      <c r="D62" s="5"/>
    </row>
    <row r="63" spans="1:15" x14ac:dyDescent="0.2">
      <c r="A63" s="1"/>
      <c r="D63" s="5"/>
    </row>
    <row r="64" spans="1:15" x14ac:dyDescent="0.2">
      <c r="A64" s="1"/>
      <c r="D64" s="5"/>
    </row>
    <row r="65" spans="1:17" x14ac:dyDescent="0.2">
      <c r="A65" s="1"/>
      <c r="D65" s="5"/>
      <c r="L65" s="179"/>
      <c r="M65" s="179"/>
      <c r="N65" s="179"/>
      <c r="O65" s="179"/>
      <c r="P65" s="179"/>
      <c r="Q65" s="179"/>
    </row>
    <row r="66" spans="1:17" x14ac:dyDescent="0.2">
      <c r="A66" s="1"/>
      <c r="D66" s="5"/>
    </row>
    <row r="68" spans="1:17" x14ac:dyDescent="0.2">
      <c r="A68" s="1"/>
      <c r="D68" s="4">
        <v>58120</v>
      </c>
      <c r="E68" s="4">
        <v>60220.75</v>
      </c>
      <c r="F68" s="4"/>
      <c r="G68" s="4"/>
      <c r="H68" s="4"/>
      <c r="I68" s="4"/>
    </row>
    <row r="69" spans="1:17" x14ac:dyDescent="0.2">
      <c r="A69" s="1"/>
      <c r="B69" s="110"/>
      <c r="D69" s="4">
        <v>240882.98</v>
      </c>
      <c r="E69" s="4">
        <v>8516.39</v>
      </c>
      <c r="F69" s="4"/>
      <c r="G69" s="4"/>
      <c r="H69" s="4"/>
      <c r="I69" s="4"/>
    </row>
    <row r="70" spans="1:17" hidden="1" x14ac:dyDescent="0.2">
      <c r="A70" s="1"/>
      <c r="B70" s="111" t="s">
        <v>149</v>
      </c>
      <c r="D70" s="4">
        <v>37569.42</v>
      </c>
      <c r="E70" s="4">
        <v>119360.34</v>
      </c>
      <c r="F70" s="4"/>
      <c r="G70" s="4"/>
      <c r="H70" s="4"/>
      <c r="I70" s="4"/>
    </row>
    <row r="71" spans="1:17" hidden="1" x14ac:dyDescent="0.2">
      <c r="A71" s="1"/>
      <c r="B71" s="111" t="s">
        <v>150</v>
      </c>
      <c r="D71" s="4">
        <v>15000</v>
      </c>
      <c r="E71" s="4">
        <v>5311.26</v>
      </c>
      <c r="F71" s="4"/>
      <c r="G71" s="4"/>
      <c r="H71" s="4"/>
      <c r="I71" s="4"/>
    </row>
    <row r="72" spans="1:17" x14ac:dyDescent="0.2">
      <c r="A72" s="1"/>
      <c r="B72" s="111"/>
      <c r="D72" s="4"/>
      <c r="E72" s="4"/>
      <c r="F72" s="4"/>
      <c r="G72" s="4"/>
      <c r="H72" s="4"/>
      <c r="I72" s="4"/>
    </row>
    <row r="73" spans="1:17" x14ac:dyDescent="0.2">
      <c r="A73" s="1"/>
      <c r="B73" s="111"/>
      <c r="D73" s="4"/>
      <c r="E73" s="4"/>
      <c r="F73" s="4"/>
      <c r="G73" s="4"/>
      <c r="H73" s="4"/>
      <c r="I73" s="4"/>
    </row>
    <row r="74" spans="1:17" x14ac:dyDescent="0.2">
      <c r="A74" s="1"/>
      <c r="B74" s="111"/>
      <c r="D74" s="4"/>
      <c r="E74" s="4"/>
      <c r="F74" s="4"/>
      <c r="G74" s="4"/>
      <c r="H74" s="4"/>
      <c r="I74" s="4"/>
    </row>
    <row r="75" spans="1:17" x14ac:dyDescent="0.2">
      <c r="A75" s="1"/>
      <c r="B75" s="111"/>
      <c r="D75" s="4"/>
      <c r="E75" s="4"/>
      <c r="F75" s="4"/>
      <c r="G75" s="4"/>
      <c r="H75" s="4"/>
      <c r="I75" s="4"/>
    </row>
    <row r="76" spans="1:17" x14ac:dyDescent="0.2">
      <c r="A76" s="1"/>
      <c r="B76" s="110"/>
      <c r="D76" s="4">
        <v>5295.41</v>
      </c>
      <c r="E76" s="4">
        <v>1754.57</v>
      </c>
      <c r="F76" s="4"/>
      <c r="G76" s="4"/>
      <c r="H76" s="4"/>
      <c r="I76" s="4"/>
    </row>
    <row r="77" spans="1:17" x14ac:dyDescent="0.2">
      <c r="A77" s="1"/>
      <c r="D77" s="4">
        <v>100000</v>
      </c>
      <c r="E77" s="4">
        <v>33404.300000000003</v>
      </c>
      <c r="F77" s="4"/>
      <c r="G77" s="4"/>
      <c r="H77" s="4"/>
      <c r="I77" s="4"/>
    </row>
    <row r="78" spans="1:17" ht="15" customHeight="1" x14ac:dyDescent="0.25">
      <c r="A78" s="1"/>
      <c r="B78" s="366" t="s">
        <v>235</v>
      </c>
      <c r="C78" s="367"/>
      <c r="D78" s="367"/>
      <c r="E78" s="367"/>
      <c r="F78" s="367"/>
      <c r="G78" s="367"/>
      <c r="H78" s="367"/>
      <c r="I78" s="367"/>
      <c r="J78" s="367"/>
      <c r="K78" s="367"/>
    </row>
    <row r="79" spans="1:17" ht="30" x14ac:dyDescent="0.25">
      <c r="A79" s="141"/>
      <c r="B79" s="121" t="s">
        <v>49</v>
      </c>
      <c r="C79" s="122"/>
      <c r="D79" s="123">
        <v>7143.17</v>
      </c>
      <c r="E79" s="123">
        <v>12000</v>
      </c>
      <c r="F79" s="123"/>
      <c r="G79" s="123"/>
      <c r="H79" s="123"/>
      <c r="I79" s="123"/>
      <c r="J79" s="122" t="s">
        <v>151</v>
      </c>
      <c r="K79" s="124" t="s">
        <v>158</v>
      </c>
    </row>
    <row r="80" spans="1:17" s="3" customFormat="1" ht="15" x14ac:dyDescent="0.25">
      <c r="A80" s="141"/>
      <c r="B80" s="104" t="s">
        <v>14</v>
      </c>
      <c r="C80" s="114"/>
      <c r="D80" s="105">
        <v>43953.120000000003</v>
      </c>
      <c r="E80" s="105">
        <v>90650.59</v>
      </c>
      <c r="F80" s="105"/>
      <c r="G80" s="105"/>
      <c r="H80" s="105"/>
      <c r="I80" s="105"/>
      <c r="J80" s="115">
        <f>SUM(J81:J85)</f>
        <v>62680</v>
      </c>
      <c r="K80" s="125">
        <f>+J80/J94</f>
        <v>0.1705010312075371</v>
      </c>
      <c r="L80" s="3">
        <f>K58*22%</f>
        <v>109350.29160000001</v>
      </c>
      <c r="M80" s="6"/>
    </row>
    <row r="81" spans="1:13" x14ac:dyDescent="0.2">
      <c r="B81" s="103" t="s">
        <v>147</v>
      </c>
      <c r="C81" s="116">
        <v>568296.28</v>
      </c>
      <c r="D81" s="106">
        <v>512109.51</v>
      </c>
      <c r="E81" s="106">
        <v>630323.42000000004</v>
      </c>
      <c r="F81" s="106"/>
      <c r="G81" s="106"/>
      <c r="H81" s="106"/>
      <c r="I81" s="106"/>
      <c r="J81" s="117"/>
      <c r="K81" s="103"/>
    </row>
    <row r="82" spans="1:13" x14ac:dyDescent="0.2">
      <c r="B82" s="103" t="s">
        <v>148</v>
      </c>
      <c r="C82" s="116">
        <v>30845.319999999996</v>
      </c>
      <c r="D82" s="106">
        <v>37260.57</v>
      </c>
      <c r="E82" s="106">
        <v>5151.82</v>
      </c>
      <c r="F82" s="106"/>
      <c r="G82" s="106"/>
      <c r="H82" s="106"/>
      <c r="I82" s="106"/>
      <c r="J82" s="117">
        <f>+K26</f>
        <v>2500</v>
      </c>
      <c r="K82" s="252"/>
    </row>
    <row r="83" spans="1:13" x14ac:dyDescent="0.2">
      <c r="B83" s="103" t="s">
        <v>153</v>
      </c>
      <c r="C83" s="116">
        <v>3623.8999999999996</v>
      </c>
      <c r="D83" s="106">
        <v>5680.8099999999995</v>
      </c>
      <c r="E83" s="106">
        <v>5127.9799999999996</v>
      </c>
      <c r="F83" s="106"/>
      <c r="G83" s="106"/>
      <c r="H83" s="106"/>
      <c r="I83" s="106"/>
      <c r="J83" s="117"/>
      <c r="K83" s="103"/>
    </row>
    <row r="84" spans="1:13" x14ac:dyDescent="0.2">
      <c r="B84" s="103" t="s">
        <v>154</v>
      </c>
      <c r="C84" s="116"/>
      <c r="D84" s="106"/>
      <c r="E84" s="106"/>
      <c r="F84" s="106"/>
      <c r="G84" s="106"/>
      <c r="H84" s="106"/>
      <c r="I84" s="106"/>
      <c r="J84" s="117"/>
      <c r="K84" s="103"/>
    </row>
    <row r="85" spans="1:13" x14ac:dyDescent="0.2">
      <c r="B85" s="103" t="s">
        <v>155</v>
      </c>
      <c r="C85" s="116"/>
      <c r="D85" s="106"/>
      <c r="E85" s="106"/>
      <c r="F85" s="106"/>
      <c r="G85" s="106"/>
      <c r="H85" s="106"/>
      <c r="I85" s="106"/>
      <c r="J85" s="117">
        <f>+K25</f>
        <v>60180</v>
      </c>
      <c r="K85" s="252"/>
    </row>
    <row r="86" spans="1:13" s="3" customFormat="1" ht="14.25" hidden="1" customHeight="1" x14ac:dyDescent="0.25">
      <c r="A86" s="141"/>
      <c r="B86" s="104" t="s">
        <v>5</v>
      </c>
      <c r="C86" s="114"/>
      <c r="D86" s="105">
        <v>18910.32</v>
      </c>
      <c r="E86" s="105">
        <v>6719.16</v>
      </c>
      <c r="F86" s="105"/>
      <c r="G86" s="105"/>
      <c r="H86" s="105"/>
      <c r="I86" s="105"/>
      <c r="J86" s="115">
        <f>J29</f>
        <v>62187.960000000006</v>
      </c>
      <c r="K86" s="125">
        <f>+J86/J91</f>
        <v>0.14468696974435494</v>
      </c>
      <c r="M86" s="6"/>
    </row>
    <row r="87" spans="1:13" ht="14.25" hidden="1" customHeight="1" x14ac:dyDescent="0.2">
      <c r="B87" s="103" t="s">
        <v>156</v>
      </c>
      <c r="C87" s="116"/>
      <c r="D87" s="106"/>
      <c r="E87" s="106"/>
      <c r="F87" s="106"/>
      <c r="G87" s="106"/>
      <c r="H87" s="106"/>
      <c r="I87" s="106"/>
      <c r="J87" s="117" t="e">
        <f>+#REF!</f>
        <v>#REF!</v>
      </c>
      <c r="K87" s="103"/>
    </row>
    <row r="88" spans="1:13" ht="14.25" hidden="1" customHeight="1" x14ac:dyDescent="0.2">
      <c r="B88" s="103" t="s">
        <v>157</v>
      </c>
      <c r="C88" s="116"/>
      <c r="D88" s="106"/>
      <c r="E88" s="106"/>
      <c r="F88" s="106"/>
      <c r="G88" s="106"/>
      <c r="H88" s="106"/>
      <c r="I88" s="106"/>
      <c r="J88" s="117" t="e">
        <f>+#REF!</f>
        <v>#REF!</v>
      </c>
      <c r="K88" s="103"/>
    </row>
    <row r="89" spans="1:13" s="3" customFormat="1" ht="14.25" hidden="1" customHeight="1" x14ac:dyDescent="0.25">
      <c r="A89" s="141"/>
      <c r="B89" s="104" t="s">
        <v>152</v>
      </c>
      <c r="C89" s="114"/>
      <c r="D89" s="105">
        <v>11053.53</v>
      </c>
      <c r="E89" s="105">
        <v>10402.629999999999</v>
      </c>
      <c r="F89" s="105"/>
      <c r="G89" s="105"/>
      <c r="H89" s="105"/>
      <c r="I89" s="105"/>
      <c r="J89" s="115">
        <v>0</v>
      </c>
      <c r="K89" s="104"/>
      <c r="M89" s="6"/>
    </row>
    <row r="90" spans="1:13" s="3" customFormat="1" ht="15" x14ac:dyDescent="0.25">
      <c r="A90" s="141"/>
      <c r="B90" s="104" t="s">
        <v>152</v>
      </c>
      <c r="C90" s="114"/>
      <c r="D90" s="105"/>
      <c r="E90" s="105"/>
      <c r="F90" s="105"/>
      <c r="G90" s="105"/>
      <c r="H90" s="105"/>
      <c r="I90" s="105"/>
      <c r="J90" s="115">
        <f>+K29</f>
        <v>304942.41000000003</v>
      </c>
      <c r="K90" s="125">
        <f>+J90/J94</f>
        <v>0.82949896879246288</v>
      </c>
      <c r="M90" s="6"/>
    </row>
    <row r="91" spans="1:13" s="112" customFormat="1" ht="14.25" hidden="1" customHeight="1" x14ac:dyDescent="0.25">
      <c r="A91" s="142"/>
      <c r="B91" s="118" t="s">
        <v>20</v>
      </c>
      <c r="C91" s="119"/>
      <c r="D91" s="107">
        <v>38515.08</v>
      </c>
      <c r="E91" s="107">
        <v>109499.67</v>
      </c>
      <c r="F91" s="107"/>
      <c r="G91" s="107"/>
      <c r="H91" s="107"/>
      <c r="I91" s="107"/>
      <c r="J91" s="120">
        <f>+J89+J86+J80+J90</f>
        <v>429810.37000000005</v>
      </c>
      <c r="K91" s="126">
        <f>+J91/J91</f>
        <v>1</v>
      </c>
      <c r="M91" s="113"/>
    </row>
    <row r="92" spans="1:13" ht="14.25" hidden="1" customHeight="1" x14ac:dyDescent="0.25">
      <c r="D92" s="6">
        <f>SUM(D68:D91)</f>
        <v>1131493.9200000002</v>
      </c>
      <c r="E92" s="6">
        <f>SUM(E68:E91)</f>
        <v>1098442.8799999999</v>
      </c>
      <c r="F92" s="6"/>
      <c r="G92" s="6"/>
      <c r="H92" s="6"/>
      <c r="I92" s="6"/>
    </row>
    <row r="93" spans="1:13" ht="15" hidden="1" customHeight="1" x14ac:dyDescent="0.25">
      <c r="D93" s="6"/>
    </row>
    <row r="94" spans="1:13" ht="15" x14ac:dyDescent="0.25">
      <c r="D94" s="6"/>
      <c r="E94" s="4"/>
      <c r="F94" s="4"/>
      <c r="G94" s="4"/>
      <c r="H94" s="4"/>
      <c r="I94" s="4"/>
      <c r="J94" s="5">
        <f>+J90+J80</f>
        <v>367622.41000000003</v>
      </c>
      <c r="K94" s="253">
        <f>SUM(K80+K90)</f>
        <v>1</v>
      </c>
    </row>
    <row r="95" spans="1:13" ht="15" x14ac:dyDescent="0.25">
      <c r="A95" s="1"/>
      <c r="D95" s="6"/>
      <c r="E95" s="4"/>
      <c r="F95" s="4"/>
      <c r="G95" s="4"/>
      <c r="H95" s="4"/>
      <c r="I95" s="4"/>
      <c r="J95" s="1"/>
      <c r="M95" s="1"/>
    </row>
    <row r="96" spans="1:13" x14ac:dyDescent="0.2">
      <c r="A96" s="1"/>
      <c r="D96" s="4"/>
      <c r="J96" s="1"/>
      <c r="M96" s="1"/>
    </row>
    <row r="97" spans="1:13" x14ac:dyDescent="0.2">
      <c r="A97" s="1"/>
      <c r="B97" s="1" t="s">
        <v>19</v>
      </c>
      <c r="D97" s="4">
        <v>275000</v>
      </c>
      <c r="J97" s="1"/>
      <c r="M97" s="1"/>
    </row>
    <row r="98" spans="1:13" x14ac:dyDescent="0.2">
      <c r="A98" s="1"/>
      <c r="D98" s="4">
        <v>124034.61</v>
      </c>
      <c r="J98" s="1"/>
      <c r="M98" s="1"/>
    </row>
    <row r="99" spans="1:13" x14ac:dyDescent="0.2">
      <c r="A99" s="1"/>
      <c r="D99" s="4">
        <v>230349.98</v>
      </c>
      <c r="J99" s="1"/>
      <c r="M99" s="1"/>
    </row>
    <row r="100" spans="1:13" x14ac:dyDescent="0.2">
      <c r="A100" s="1"/>
      <c r="D100" s="4">
        <v>169189.15</v>
      </c>
      <c r="J100" s="1"/>
      <c r="M100" s="1"/>
    </row>
    <row r="101" spans="1:13" ht="15" x14ac:dyDescent="0.25">
      <c r="A101" s="1"/>
      <c r="D101" s="6">
        <f>SUM(D97:D100)</f>
        <v>798573.74</v>
      </c>
      <c r="J101" s="1"/>
      <c r="M101" s="1"/>
    </row>
    <row r="102" spans="1:13" x14ac:dyDescent="0.2">
      <c r="A102" s="1"/>
      <c r="D102" s="4"/>
      <c r="J102" s="1"/>
      <c r="M102" s="1"/>
    </row>
    <row r="103" spans="1:13" x14ac:dyDescent="0.2">
      <c r="A103" s="1"/>
      <c r="D103" s="4"/>
      <c r="J103" s="1"/>
      <c r="M103" s="1"/>
    </row>
    <row r="104" spans="1:13" x14ac:dyDescent="0.2">
      <c r="A104" s="1"/>
      <c r="D104" s="4"/>
      <c r="J104" s="1"/>
      <c r="M104" s="1"/>
    </row>
    <row r="105" spans="1:13" x14ac:dyDescent="0.2">
      <c r="A105" s="1"/>
      <c r="D105" s="4"/>
      <c r="J105" s="1"/>
      <c r="M105" s="1"/>
    </row>
    <row r="106" spans="1:13" x14ac:dyDescent="0.2">
      <c r="A106" s="1"/>
      <c r="D106" s="4"/>
      <c r="J106" s="1"/>
      <c r="M106" s="1"/>
    </row>
    <row r="107" spans="1:13" x14ac:dyDescent="0.2">
      <c r="A107" s="1"/>
      <c r="D107" s="4"/>
      <c r="J107" s="1"/>
      <c r="M107" s="1"/>
    </row>
    <row r="108" spans="1:13" x14ac:dyDescent="0.2">
      <c r="A108" s="1"/>
      <c r="D108" s="4"/>
      <c r="J108" s="1"/>
      <c r="M108" s="1"/>
    </row>
  </sheetData>
  <mergeCells count="5">
    <mergeCell ref="A1:J1"/>
    <mergeCell ref="A2:J2"/>
    <mergeCell ref="A3:J3"/>
    <mergeCell ref="L27:M27"/>
    <mergeCell ref="B78:K7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K397"/>
  <sheetViews>
    <sheetView tabSelected="1" zoomScale="145" zoomScaleNormal="145" zoomScaleSheetLayoutView="85" workbookViewId="0">
      <selection activeCell="D160" sqref="D160"/>
    </sheetView>
  </sheetViews>
  <sheetFormatPr baseColWidth="10" defaultColWidth="11.42578125" defaultRowHeight="11.25" x14ac:dyDescent="0.2"/>
  <cols>
    <col min="1" max="1" width="10.7109375" style="101" customWidth="1"/>
    <col min="2" max="2" width="49.42578125" style="127" customWidth="1"/>
    <col min="3" max="3" width="15" style="314" customWidth="1"/>
    <col min="4" max="4" width="16.140625" style="83" customWidth="1"/>
    <col min="5" max="5" width="15.28515625" style="79" hidden="1" customWidth="1"/>
    <col min="6" max="6" width="0" style="80" hidden="1" customWidth="1"/>
    <col min="7" max="7" width="12.85546875" style="330" customWidth="1"/>
    <col min="8" max="8" width="11.42578125" style="100"/>
    <col min="9" max="16384" width="11.42578125" style="80"/>
  </cols>
  <sheetData>
    <row r="1" spans="1:11" x14ac:dyDescent="0.2">
      <c r="A1" s="368" t="s">
        <v>589</v>
      </c>
      <c r="B1" s="368"/>
      <c r="C1" s="368"/>
      <c r="D1" s="368"/>
      <c r="F1" s="335"/>
      <c r="G1" s="336"/>
      <c r="H1" s="335"/>
      <c r="I1" s="335"/>
      <c r="J1" s="335"/>
      <c r="K1" s="335"/>
    </row>
    <row r="2" spans="1:11" x14ac:dyDescent="0.2">
      <c r="A2" s="81" t="s">
        <v>46</v>
      </c>
      <c r="B2" s="127" t="s">
        <v>47</v>
      </c>
      <c r="F2" s="335"/>
      <c r="G2" s="336"/>
      <c r="H2" s="335"/>
      <c r="I2" s="335"/>
      <c r="J2" s="335"/>
      <c r="K2" s="335"/>
    </row>
    <row r="3" spans="1:11" ht="12.75" x14ac:dyDescent="0.2">
      <c r="A3" s="81" t="s">
        <v>23</v>
      </c>
      <c r="B3" s="127" t="s">
        <v>41</v>
      </c>
      <c r="C3" s="315"/>
      <c r="D3" s="84"/>
      <c r="E3" s="85"/>
      <c r="F3" s="335"/>
      <c r="G3" s="336"/>
      <c r="H3" s="335"/>
      <c r="I3" s="335"/>
      <c r="J3" s="335"/>
      <c r="K3" s="335"/>
    </row>
    <row r="4" spans="1:11" ht="15" customHeight="1" x14ac:dyDescent="0.2">
      <c r="A4" s="86"/>
      <c r="B4" s="128"/>
      <c r="C4" s="316"/>
      <c r="D4" s="87"/>
      <c r="E4" s="87"/>
      <c r="F4" s="335"/>
      <c r="G4" s="337"/>
      <c r="H4" s="335"/>
      <c r="I4" s="335"/>
      <c r="J4" s="335"/>
      <c r="K4" s="335"/>
    </row>
    <row r="5" spans="1:11" x14ac:dyDescent="0.2">
      <c r="A5" s="331" t="s">
        <v>48</v>
      </c>
      <c r="B5" s="332" t="s">
        <v>49</v>
      </c>
      <c r="C5" s="333" t="s">
        <v>440</v>
      </c>
      <c r="D5" s="334" t="s">
        <v>50</v>
      </c>
      <c r="E5" s="83"/>
      <c r="H5" s="80"/>
    </row>
    <row r="6" spans="1:11" x14ac:dyDescent="0.2">
      <c r="A6" s="88"/>
      <c r="B6" s="129"/>
      <c r="C6" s="318"/>
      <c r="D6" s="90"/>
      <c r="E6" s="83"/>
      <c r="H6" s="80"/>
    </row>
    <row r="7" spans="1:11" x14ac:dyDescent="0.2">
      <c r="A7" s="88"/>
      <c r="B7" s="129" t="s">
        <v>232</v>
      </c>
      <c r="C7" s="318"/>
      <c r="D7" s="90">
        <f>C9+C26+C61+C66</f>
        <v>60371.789999999994</v>
      </c>
      <c r="E7" s="82"/>
      <c r="F7" s="99"/>
      <c r="H7" s="80"/>
    </row>
    <row r="8" spans="1:11" x14ac:dyDescent="0.2">
      <c r="A8" s="88"/>
      <c r="B8" s="129"/>
      <c r="C8" s="318"/>
      <c r="D8" s="90"/>
      <c r="E8" s="82"/>
      <c r="F8" s="99"/>
      <c r="H8" s="80"/>
    </row>
    <row r="9" spans="1:11" x14ac:dyDescent="0.2">
      <c r="A9" s="303" t="s">
        <v>51</v>
      </c>
      <c r="B9" s="304" t="s">
        <v>439</v>
      </c>
      <c r="C9" s="319">
        <f>C10+C13+C22</f>
        <v>47955.85</v>
      </c>
      <c r="D9" s="90"/>
      <c r="E9" s="82" t="s">
        <v>231</v>
      </c>
      <c r="F9" s="99">
        <f>D9+C64+C27+C63</f>
        <v>1777.5500000000002</v>
      </c>
      <c r="H9" s="80"/>
    </row>
    <row r="10" spans="1:11" x14ac:dyDescent="0.2">
      <c r="A10" s="88" t="s">
        <v>52</v>
      </c>
      <c r="B10" s="129" t="s">
        <v>53</v>
      </c>
      <c r="C10" s="317">
        <f>+C11</f>
        <v>36693.72</v>
      </c>
      <c r="D10" s="90"/>
      <c r="E10" s="82"/>
      <c r="F10" s="99"/>
      <c r="H10" s="99"/>
    </row>
    <row r="11" spans="1:11" x14ac:dyDescent="0.2">
      <c r="A11" s="91" t="s">
        <v>54</v>
      </c>
      <c r="B11" s="102" t="s">
        <v>55</v>
      </c>
      <c r="C11" s="318">
        <v>36693.72</v>
      </c>
      <c r="D11" s="90"/>
      <c r="E11" s="82"/>
      <c r="F11" s="99"/>
      <c r="H11" s="80"/>
    </row>
    <row r="12" spans="1:11" x14ac:dyDescent="0.2">
      <c r="A12" s="88"/>
      <c r="B12" s="129"/>
      <c r="C12" s="318"/>
      <c r="D12" s="90"/>
      <c r="E12" s="82"/>
      <c r="F12" s="99"/>
      <c r="H12" s="80"/>
    </row>
    <row r="13" spans="1:11" x14ac:dyDescent="0.2">
      <c r="A13" s="92" t="s">
        <v>56</v>
      </c>
      <c r="B13" s="130" t="s">
        <v>57</v>
      </c>
      <c r="C13" s="317">
        <f>SUM(C14:C15)</f>
        <v>5182.8099999999995</v>
      </c>
      <c r="D13" s="90"/>
      <c r="E13" s="82"/>
      <c r="F13" s="99"/>
      <c r="H13" s="80"/>
    </row>
    <row r="14" spans="1:11" x14ac:dyDescent="0.2">
      <c r="A14" s="93" t="s">
        <v>58</v>
      </c>
      <c r="B14" s="131" t="s">
        <v>59</v>
      </c>
      <c r="C14" s="318">
        <v>3058.81</v>
      </c>
      <c r="D14" s="90"/>
      <c r="E14" s="82"/>
      <c r="F14" s="99"/>
      <c r="H14" s="80"/>
    </row>
    <row r="15" spans="1:11" x14ac:dyDescent="0.2">
      <c r="A15" s="93" t="s">
        <v>60</v>
      </c>
      <c r="B15" s="131" t="s">
        <v>61</v>
      </c>
      <c r="C15" s="318">
        <v>2124</v>
      </c>
      <c r="D15" s="90"/>
      <c r="E15" s="82"/>
      <c r="F15" s="99"/>
      <c r="H15" s="80"/>
    </row>
    <row r="16" spans="1:11" x14ac:dyDescent="0.2">
      <c r="A16" s="93"/>
      <c r="B16" s="130"/>
      <c r="C16" s="317"/>
      <c r="D16" s="90"/>
      <c r="E16" s="82"/>
      <c r="F16" s="99"/>
      <c r="H16" s="80"/>
    </row>
    <row r="17" spans="1:8" hidden="1" x14ac:dyDescent="0.2">
      <c r="A17" s="88" t="s">
        <v>62</v>
      </c>
      <c r="B17" s="129" t="s">
        <v>63</v>
      </c>
      <c r="C17" s="317">
        <f>+C18+C20</f>
        <v>0</v>
      </c>
      <c r="D17" s="90"/>
      <c r="E17" s="82"/>
      <c r="H17" s="80"/>
    </row>
    <row r="18" spans="1:8" hidden="1" x14ac:dyDescent="0.2">
      <c r="A18" s="94" t="s">
        <v>64</v>
      </c>
      <c r="B18" s="132" t="s">
        <v>65</v>
      </c>
      <c r="C18" s="318">
        <v>0</v>
      </c>
      <c r="D18" s="90"/>
      <c r="E18" s="82"/>
      <c r="H18" s="80"/>
    </row>
    <row r="19" spans="1:8" hidden="1" x14ac:dyDescent="0.2">
      <c r="A19" s="94" t="s">
        <v>66</v>
      </c>
      <c r="B19" s="132" t="s">
        <v>67</v>
      </c>
      <c r="C19" s="318"/>
      <c r="D19" s="90"/>
      <c r="H19" s="80"/>
    </row>
    <row r="20" spans="1:8" hidden="1" x14ac:dyDescent="0.2">
      <c r="A20" s="94" t="s">
        <v>68</v>
      </c>
      <c r="B20" s="132" t="s">
        <v>69</v>
      </c>
      <c r="C20" s="318">
        <v>0</v>
      </c>
      <c r="D20" s="90"/>
      <c r="E20" s="82"/>
      <c r="H20" s="80"/>
    </row>
    <row r="21" spans="1:8" hidden="1" x14ac:dyDescent="0.2">
      <c r="A21" s="94"/>
      <c r="B21" s="132"/>
      <c r="C21" s="318"/>
      <c r="D21" s="90"/>
      <c r="E21" s="82"/>
      <c r="H21" s="80"/>
    </row>
    <row r="22" spans="1:8" x14ac:dyDescent="0.2">
      <c r="A22" s="88" t="s">
        <v>70</v>
      </c>
      <c r="B22" s="129" t="s">
        <v>71</v>
      </c>
      <c r="C22" s="317">
        <f>SUM(C23:C24)</f>
        <v>6079.32</v>
      </c>
      <c r="D22" s="90"/>
      <c r="E22" s="83"/>
      <c r="H22" s="80"/>
    </row>
    <row r="23" spans="1:8" x14ac:dyDescent="0.2">
      <c r="A23" s="95" t="s">
        <v>72</v>
      </c>
      <c r="B23" s="133" t="s">
        <v>73</v>
      </c>
      <c r="C23" s="318">
        <v>4091.4</v>
      </c>
      <c r="D23" s="90"/>
      <c r="E23" s="82"/>
      <c r="H23" s="80"/>
    </row>
    <row r="24" spans="1:8" x14ac:dyDescent="0.2">
      <c r="A24" s="95" t="s">
        <v>74</v>
      </c>
      <c r="B24" s="133" t="s">
        <v>75</v>
      </c>
      <c r="C24" s="318">
        <v>1987.92</v>
      </c>
      <c r="D24" s="90"/>
      <c r="E24" s="82"/>
      <c r="H24" s="80"/>
    </row>
    <row r="25" spans="1:8" x14ac:dyDescent="0.2">
      <c r="A25" s="95"/>
      <c r="B25" s="133"/>
      <c r="C25" s="318"/>
      <c r="D25" s="90"/>
      <c r="E25" s="82"/>
      <c r="H25" s="80"/>
    </row>
    <row r="26" spans="1:8" x14ac:dyDescent="0.2">
      <c r="A26" s="305" t="s">
        <v>76</v>
      </c>
      <c r="B26" s="306" t="s">
        <v>438</v>
      </c>
      <c r="C26" s="319">
        <f>C27+C32+C38+C46+C49+C53</f>
        <v>4644.3100000000004</v>
      </c>
      <c r="D26" s="90"/>
      <c r="E26" s="82"/>
      <c r="H26" s="80"/>
    </row>
    <row r="27" spans="1:8" x14ac:dyDescent="0.2">
      <c r="A27" s="96" t="s">
        <v>77</v>
      </c>
      <c r="B27" s="134" t="s">
        <v>78</v>
      </c>
      <c r="C27" s="317">
        <f>SUM(C29:C30)</f>
        <v>1290.4000000000001</v>
      </c>
      <c r="D27" s="90"/>
      <c r="E27" s="82"/>
      <c r="H27" s="80"/>
    </row>
    <row r="28" spans="1:8" hidden="1" x14ac:dyDescent="0.2">
      <c r="A28" s="95" t="s">
        <v>211</v>
      </c>
      <c r="B28" s="133" t="s">
        <v>7</v>
      </c>
      <c r="C28" s="318">
        <v>0</v>
      </c>
      <c r="D28" s="89"/>
      <c r="E28" s="82"/>
      <c r="H28" s="80"/>
    </row>
    <row r="29" spans="1:8" x14ac:dyDescent="0.2">
      <c r="A29" s="95" t="s">
        <v>79</v>
      </c>
      <c r="B29" s="133" t="s">
        <v>80</v>
      </c>
      <c r="C29" s="318">
        <v>562.65</v>
      </c>
      <c r="D29" s="90"/>
      <c r="E29" s="82"/>
      <c r="H29" s="80"/>
    </row>
    <row r="30" spans="1:8" x14ac:dyDescent="0.2">
      <c r="A30" s="95" t="s">
        <v>81</v>
      </c>
      <c r="B30" s="133" t="s">
        <v>82</v>
      </c>
      <c r="C30" s="318">
        <v>727.75</v>
      </c>
      <c r="D30" s="90"/>
      <c r="E30" s="82"/>
      <c r="H30" s="80"/>
    </row>
    <row r="31" spans="1:8" x14ac:dyDescent="0.2">
      <c r="A31" s="95"/>
      <c r="B31" s="133"/>
      <c r="C31" s="318"/>
      <c r="D31" s="90"/>
      <c r="E31" s="82"/>
      <c r="H31" s="80"/>
    </row>
    <row r="32" spans="1:8" x14ac:dyDescent="0.2">
      <c r="A32" s="96" t="s">
        <v>83</v>
      </c>
      <c r="B32" s="134" t="s">
        <v>84</v>
      </c>
      <c r="C32" s="317">
        <f>SUM(C33:C36)</f>
        <v>541.32000000000005</v>
      </c>
      <c r="D32" s="90"/>
      <c r="E32" s="82"/>
      <c r="H32" s="80"/>
    </row>
    <row r="33" spans="1:8" hidden="1" x14ac:dyDescent="0.2">
      <c r="A33" s="95" t="s">
        <v>214</v>
      </c>
      <c r="B33" s="133" t="s">
        <v>133</v>
      </c>
      <c r="C33" s="318">
        <v>0</v>
      </c>
      <c r="D33" s="89"/>
      <c r="E33" s="82"/>
      <c r="H33" s="80"/>
    </row>
    <row r="34" spans="1:8" x14ac:dyDescent="0.2">
      <c r="A34" s="95" t="s">
        <v>115</v>
      </c>
      <c r="B34" s="133" t="s">
        <v>215</v>
      </c>
      <c r="C34" s="318">
        <v>541.32000000000005</v>
      </c>
      <c r="D34" s="90"/>
      <c r="E34" s="82"/>
      <c r="H34" s="80"/>
    </row>
    <row r="35" spans="1:8" hidden="1" x14ac:dyDescent="0.2">
      <c r="A35" s="95" t="s">
        <v>85</v>
      </c>
      <c r="B35" s="133" t="s">
        <v>86</v>
      </c>
      <c r="C35" s="318">
        <v>0</v>
      </c>
      <c r="D35" s="90"/>
      <c r="E35" s="82"/>
      <c r="H35" s="80"/>
    </row>
    <row r="36" spans="1:8" hidden="1" x14ac:dyDescent="0.2">
      <c r="A36" s="95" t="s">
        <v>87</v>
      </c>
      <c r="B36" s="133" t="s">
        <v>88</v>
      </c>
      <c r="C36" s="318">
        <v>0</v>
      </c>
      <c r="D36" s="90"/>
      <c r="E36" s="82"/>
      <c r="H36" s="80"/>
    </row>
    <row r="37" spans="1:8" x14ac:dyDescent="0.2">
      <c r="A37" s="95"/>
      <c r="B37" s="133"/>
      <c r="C37" s="318"/>
      <c r="D37" s="90"/>
      <c r="E37" s="82"/>
      <c r="H37" s="80"/>
    </row>
    <row r="38" spans="1:8" x14ac:dyDescent="0.2">
      <c r="A38" s="96" t="s">
        <v>89</v>
      </c>
      <c r="B38" s="134" t="s">
        <v>90</v>
      </c>
      <c r="C38" s="317">
        <f>SUM(C39:C40)</f>
        <v>700</v>
      </c>
      <c r="D38" s="90"/>
      <c r="E38" s="82"/>
      <c r="H38" s="80"/>
    </row>
    <row r="39" spans="1:8" x14ac:dyDescent="0.2">
      <c r="A39" s="95" t="s">
        <v>91</v>
      </c>
      <c r="B39" s="133" t="s">
        <v>92</v>
      </c>
      <c r="C39" s="318">
        <f>+PARTICIPATIVO!C33</f>
        <v>500</v>
      </c>
      <c r="D39" s="90"/>
      <c r="E39" s="82"/>
      <c r="H39" s="80"/>
    </row>
    <row r="40" spans="1:8" x14ac:dyDescent="0.2">
      <c r="A40" s="95" t="s">
        <v>93</v>
      </c>
      <c r="B40" s="133" t="s">
        <v>94</v>
      </c>
      <c r="C40" s="318">
        <f>+PARTICIPATIVO!C31</f>
        <v>200</v>
      </c>
      <c r="D40" s="90"/>
      <c r="E40" s="82"/>
      <c r="H40" s="80"/>
    </row>
    <row r="41" spans="1:8" hidden="1" x14ac:dyDescent="0.2">
      <c r="A41" s="95"/>
      <c r="B41" s="133"/>
      <c r="C41" s="318"/>
      <c r="D41" s="90"/>
      <c r="E41" s="82"/>
      <c r="H41" s="80"/>
    </row>
    <row r="42" spans="1:8" hidden="1" x14ac:dyDescent="0.2">
      <c r="A42" s="96" t="s">
        <v>95</v>
      </c>
      <c r="B42" s="134" t="s">
        <v>217</v>
      </c>
      <c r="C42" s="317">
        <f>SUM(C43:C44)</f>
        <v>0</v>
      </c>
      <c r="D42" s="90"/>
      <c r="E42" s="82"/>
      <c r="H42" s="80"/>
    </row>
    <row r="43" spans="1:8" hidden="1" x14ac:dyDescent="0.2">
      <c r="A43" s="95" t="s">
        <v>216</v>
      </c>
      <c r="B43" s="133" t="s">
        <v>218</v>
      </c>
      <c r="C43" s="318">
        <v>0</v>
      </c>
      <c r="D43" s="90"/>
      <c r="E43" s="82"/>
      <c r="H43" s="80"/>
    </row>
    <row r="44" spans="1:8" hidden="1" x14ac:dyDescent="0.2">
      <c r="A44" s="95" t="s">
        <v>96</v>
      </c>
      <c r="B44" s="133" t="s">
        <v>97</v>
      </c>
      <c r="C44" s="318">
        <v>0</v>
      </c>
      <c r="D44" s="90"/>
      <c r="E44" s="82"/>
      <c r="H44" s="80"/>
    </row>
    <row r="45" spans="1:8" x14ac:dyDescent="0.2">
      <c r="A45" s="95"/>
      <c r="B45" s="133"/>
      <c r="C45" s="318"/>
      <c r="D45" s="90"/>
      <c r="E45" s="82"/>
      <c r="H45" s="80"/>
    </row>
    <row r="46" spans="1:8" x14ac:dyDescent="0.2">
      <c r="A46" s="96" t="s">
        <v>259</v>
      </c>
      <c r="B46" s="134" t="s">
        <v>260</v>
      </c>
      <c r="C46" s="317">
        <f>+C47</f>
        <v>92</v>
      </c>
      <c r="D46" s="90"/>
      <c r="E46" s="82"/>
      <c r="H46" s="80"/>
    </row>
    <row r="47" spans="1:8" x14ac:dyDescent="0.2">
      <c r="A47" s="95" t="s">
        <v>258</v>
      </c>
      <c r="B47" s="133" t="s">
        <v>261</v>
      </c>
      <c r="C47" s="318">
        <v>92</v>
      </c>
      <c r="D47" s="90"/>
      <c r="E47" s="82"/>
      <c r="H47" s="80"/>
    </row>
    <row r="48" spans="1:8" x14ac:dyDescent="0.2">
      <c r="A48" s="95"/>
      <c r="B48" s="133"/>
      <c r="C48" s="318"/>
      <c r="D48" s="90"/>
      <c r="E48" s="82"/>
      <c r="H48" s="80"/>
    </row>
    <row r="49" spans="1:8" x14ac:dyDescent="0.2">
      <c r="A49" s="96" t="s">
        <v>98</v>
      </c>
      <c r="B49" s="134" t="s">
        <v>99</v>
      </c>
      <c r="C49" s="317">
        <f>SUM(C50:C51)</f>
        <v>1008</v>
      </c>
      <c r="D49" s="90"/>
      <c r="E49" s="82"/>
      <c r="H49" s="80"/>
    </row>
    <row r="50" spans="1:8" x14ac:dyDescent="0.2">
      <c r="A50" s="95" t="s">
        <v>219</v>
      </c>
      <c r="B50" s="133" t="s">
        <v>220</v>
      </c>
      <c r="C50" s="318">
        <v>1008</v>
      </c>
      <c r="D50" s="90"/>
      <c r="E50" s="82"/>
      <c r="H50" s="80"/>
    </row>
    <row r="51" spans="1:8" hidden="1" x14ac:dyDescent="0.2">
      <c r="A51" s="95" t="s">
        <v>100</v>
      </c>
      <c r="B51" s="133" t="s">
        <v>221</v>
      </c>
      <c r="C51" s="318">
        <v>0</v>
      </c>
      <c r="D51" s="90"/>
      <c r="E51" s="82"/>
      <c r="H51" s="80"/>
    </row>
    <row r="52" spans="1:8" x14ac:dyDescent="0.2">
      <c r="A52" s="95"/>
      <c r="B52" s="133"/>
      <c r="C52" s="318"/>
      <c r="D52" s="90"/>
      <c r="E52" s="82"/>
      <c r="H52" s="80"/>
    </row>
    <row r="53" spans="1:8" x14ac:dyDescent="0.2">
      <c r="A53" s="96" t="s">
        <v>101</v>
      </c>
      <c r="B53" s="134" t="s">
        <v>102</v>
      </c>
      <c r="C53" s="317">
        <f>C57+C58+C59</f>
        <v>1012.59</v>
      </c>
      <c r="D53" s="90"/>
      <c r="E53" s="82"/>
      <c r="H53" s="80"/>
    </row>
    <row r="54" spans="1:8" hidden="1" x14ac:dyDescent="0.2">
      <c r="A54" s="95" t="s">
        <v>103</v>
      </c>
      <c r="B54" s="133" t="s">
        <v>104</v>
      </c>
      <c r="C54" s="318">
        <v>0</v>
      </c>
      <c r="D54" s="90"/>
      <c r="E54" s="82"/>
      <c r="H54" s="80"/>
    </row>
    <row r="55" spans="1:8" hidden="1" x14ac:dyDescent="0.2">
      <c r="A55" s="95" t="s">
        <v>105</v>
      </c>
      <c r="B55" s="133" t="s">
        <v>106</v>
      </c>
      <c r="C55" s="318">
        <v>0</v>
      </c>
      <c r="D55" s="90"/>
      <c r="E55" s="82"/>
      <c r="H55" s="80"/>
    </row>
    <row r="56" spans="1:8" hidden="1" x14ac:dyDescent="0.2">
      <c r="A56" s="95" t="s">
        <v>222</v>
      </c>
      <c r="B56" s="133" t="s">
        <v>223</v>
      </c>
      <c r="C56" s="318">
        <v>0</v>
      </c>
      <c r="D56" s="90"/>
      <c r="E56" s="82"/>
      <c r="H56" s="80"/>
    </row>
    <row r="57" spans="1:8" x14ac:dyDescent="0.2">
      <c r="A57" s="95" t="s">
        <v>107</v>
      </c>
      <c r="B57" s="133" t="s">
        <v>108</v>
      </c>
      <c r="C57" s="318">
        <v>231</v>
      </c>
      <c r="D57" s="90"/>
      <c r="E57" s="82"/>
      <c r="H57" s="80"/>
    </row>
    <row r="58" spans="1:8" x14ac:dyDescent="0.2">
      <c r="A58" s="95" t="s">
        <v>109</v>
      </c>
      <c r="B58" s="133" t="s">
        <v>110</v>
      </c>
      <c r="C58" s="318">
        <v>137.59</v>
      </c>
      <c r="D58" s="90"/>
      <c r="E58" s="82"/>
      <c r="H58" s="80"/>
    </row>
    <row r="59" spans="1:8" x14ac:dyDescent="0.2">
      <c r="A59" s="95" t="s">
        <v>531</v>
      </c>
      <c r="B59" s="133" t="s">
        <v>488</v>
      </c>
      <c r="C59" s="318">
        <v>644</v>
      </c>
      <c r="D59" s="90"/>
      <c r="E59" s="82"/>
      <c r="H59" s="80"/>
    </row>
    <row r="60" spans="1:8" x14ac:dyDescent="0.2">
      <c r="A60" s="80"/>
      <c r="B60" s="80"/>
      <c r="C60" s="313"/>
      <c r="D60" s="90"/>
      <c r="E60" s="82"/>
      <c r="H60" s="80"/>
    </row>
    <row r="61" spans="1:8" x14ac:dyDescent="0.2">
      <c r="A61" s="303" t="s">
        <v>111</v>
      </c>
      <c r="B61" s="304" t="s">
        <v>437</v>
      </c>
      <c r="C61" s="320">
        <f>C62</f>
        <v>487.15</v>
      </c>
      <c r="D61" s="90"/>
      <c r="E61" s="82"/>
      <c r="H61" s="80"/>
    </row>
    <row r="62" spans="1:8" x14ac:dyDescent="0.2">
      <c r="A62" s="96" t="s">
        <v>112</v>
      </c>
      <c r="B62" s="134" t="s">
        <v>113</v>
      </c>
      <c r="C62" s="317">
        <f>SUM(C63:C64)</f>
        <v>487.15</v>
      </c>
      <c r="D62" s="97"/>
      <c r="E62" s="82"/>
      <c r="H62" s="80"/>
    </row>
    <row r="63" spans="1:8" x14ac:dyDescent="0.2">
      <c r="A63" s="95" t="s">
        <v>114</v>
      </c>
      <c r="B63" s="133" t="s">
        <v>224</v>
      </c>
      <c r="C63" s="318">
        <v>407.15</v>
      </c>
      <c r="D63" s="97"/>
      <c r="E63" s="82"/>
      <c r="F63" s="100"/>
      <c r="H63" s="80"/>
    </row>
    <row r="64" spans="1:8" x14ac:dyDescent="0.2">
      <c r="A64" s="95" t="s">
        <v>116</v>
      </c>
      <c r="B64" s="133" t="s">
        <v>117</v>
      </c>
      <c r="C64" s="318">
        <f>+PARTICIPATIVO!C37</f>
        <v>80</v>
      </c>
      <c r="D64" s="97"/>
      <c r="E64" s="82"/>
      <c r="H64" s="80"/>
    </row>
    <row r="65" spans="1:8" x14ac:dyDescent="0.2">
      <c r="A65" s="95"/>
      <c r="B65" s="133"/>
      <c r="C65" s="318"/>
      <c r="D65" s="97"/>
      <c r="E65" s="82"/>
      <c r="H65" s="80"/>
    </row>
    <row r="66" spans="1:8" x14ac:dyDescent="0.2">
      <c r="A66" s="303" t="s">
        <v>143</v>
      </c>
      <c r="B66" s="304" t="s">
        <v>436</v>
      </c>
      <c r="C66" s="320">
        <f>C67+C71</f>
        <v>7284.48</v>
      </c>
      <c r="D66" s="90"/>
      <c r="E66" s="82"/>
      <c r="H66" s="80"/>
    </row>
    <row r="67" spans="1:8" x14ac:dyDescent="0.2">
      <c r="A67" s="96" t="s">
        <v>144</v>
      </c>
      <c r="B67" s="134" t="s">
        <v>145</v>
      </c>
      <c r="C67" s="317">
        <f>C68+C69</f>
        <v>6980.4</v>
      </c>
      <c r="D67" s="97"/>
      <c r="E67" s="82"/>
      <c r="H67" s="80"/>
    </row>
    <row r="68" spans="1:8" x14ac:dyDescent="0.2">
      <c r="A68" s="95" t="s">
        <v>146</v>
      </c>
      <c r="B68" s="133" t="s">
        <v>225</v>
      </c>
      <c r="C68" s="318">
        <v>4780.3999999999996</v>
      </c>
      <c r="D68" s="97"/>
      <c r="E68" s="82"/>
      <c r="H68" s="80"/>
    </row>
    <row r="69" spans="1:8" x14ac:dyDescent="0.2">
      <c r="A69" s="95" t="s">
        <v>489</v>
      </c>
      <c r="B69" s="133" t="s">
        <v>490</v>
      </c>
      <c r="C69" s="318">
        <v>2200</v>
      </c>
      <c r="D69" s="97"/>
      <c r="E69" s="82"/>
      <c r="H69" s="80"/>
    </row>
    <row r="70" spans="1:8" x14ac:dyDescent="0.2">
      <c r="A70" s="80"/>
      <c r="B70" s="80"/>
      <c r="C70" s="313"/>
      <c r="D70" s="97"/>
      <c r="E70" s="82"/>
      <c r="H70" s="80"/>
    </row>
    <row r="71" spans="1:8" x14ac:dyDescent="0.2">
      <c r="A71" s="96" t="s">
        <v>226</v>
      </c>
      <c r="B71" s="134" t="s">
        <v>227</v>
      </c>
      <c r="C71" s="317">
        <f>SUM(C72)</f>
        <v>304.08</v>
      </c>
      <c r="D71" s="291"/>
      <c r="E71" s="82"/>
      <c r="H71" s="80"/>
    </row>
    <row r="72" spans="1:8" x14ac:dyDescent="0.2">
      <c r="A72" s="95" t="s">
        <v>228</v>
      </c>
      <c r="B72" s="133" t="s">
        <v>229</v>
      </c>
      <c r="C72" s="318">
        <v>304.08</v>
      </c>
      <c r="D72" s="97"/>
      <c r="E72" s="82"/>
      <c r="H72" s="80"/>
    </row>
    <row r="73" spans="1:8" x14ac:dyDescent="0.2">
      <c r="A73" s="95"/>
      <c r="B73" s="133"/>
      <c r="C73" s="318"/>
      <c r="D73" s="97"/>
      <c r="E73" s="82"/>
      <c r="H73" s="80"/>
    </row>
    <row r="74" spans="1:8" x14ac:dyDescent="0.2">
      <c r="A74" s="81" t="s">
        <v>118</v>
      </c>
      <c r="B74" s="135" t="s">
        <v>38</v>
      </c>
      <c r="H74" s="80"/>
    </row>
    <row r="75" spans="1:8" ht="28.5" customHeight="1" x14ac:dyDescent="0.2">
      <c r="A75" s="81" t="s">
        <v>23</v>
      </c>
      <c r="B75" s="296" t="s">
        <v>506</v>
      </c>
      <c r="D75" s="338">
        <f>C96+C110</f>
        <v>17827.39</v>
      </c>
      <c r="H75" s="80"/>
    </row>
    <row r="76" spans="1:8" x14ac:dyDescent="0.2">
      <c r="H76" s="80"/>
    </row>
    <row r="77" spans="1:8" x14ac:dyDescent="0.2">
      <c r="A77" s="88" t="s">
        <v>48</v>
      </c>
      <c r="B77" s="129" t="s">
        <v>49</v>
      </c>
      <c r="C77" s="317"/>
      <c r="D77" s="90" t="s">
        <v>50</v>
      </c>
      <c r="H77" s="80"/>
    </row>
    <row r="78" spans="1:8" x14ac:dyDescent="0.2">
      <c r="A78" s="88"/>
      <c r="B78" s="129"/>
      <c r="C78" s="317"/>
      <c r="D78" s="90"/>
      <c r="H78" s="80"/>
    </row>
    <row r="79" spans="1:8" x14ac:dyDescent="0.2">
      <c r="A79" s="91"/>
      <c r="B79" s="134" t="s">
        <v>233</v>
      </c>
      <c r="C79" s="318"/>
      <c r="D79" s="341"/>
      <c r="H79" s="80"/>
    </row>
    <row r="80" spans="1:8" hidden="1" x14ac:dyDescent="0.2">
      <c r="A80" s="88" t="s">
        <v>119</v>
      </c>
      <c r="B80" s="129" t="s">
        <v>234</v>
      </c>
      <c r="C80" s="317"/>
      <c r="D80" s="90">
        <f>+C81+C84+C91+C88</f>
        <v>0</v>
      </c>
      <c r="H80" s="80"/>
    </row>
    <row r="81" spans="1:8" hidden="1" x14ac:dyDescent="0.2">
      <c r="A81" s="88" t="s">
        <v>120</v>
      </c>
      <c r="B81" s="129" t="s">
        <v>53</v>
      </c>
      <c r="C81" s="317">
        <f>+C82</f>
        <v>0</v>
      </c>
      <c r="D81" s="90"/>
      <c r="H81" s="80"/>
    </row>
    <row r="82" spans="1:8" hidden="1" x14ac:dyDescent="0.2">
      <c r="A82" s="91" t="s">
        <v>121</v>
      </c>
      <c r="B82" s="102" t="s">
        <v>55</v>
      </c>
      <c r="C82" s="318">
        <f>+DISTRIBUTIVO!E42</f>
        <v>0</v>
      </c>
      <c r="D82" s="90"/>
      <c r="H82" s="80"/>
    </row>
    <row r="83" spans="1:8" hidden="1" x14ac:dyDescent="0.2">
      <c r="A83" s="91"/>
      <c r="B83" s="102"/>
      <c r="C83" s="318"/>
      <c r="D83" s="90"/>
      <c r="H83" s="80"/>
    </row>
    <row r="84" spans="1:8" hidden="1" x14ac:dyDescent="0.2">
      <c r="A84" s="88" t="s">
        <v>122</v>
      </c>
      <c r="B84" s="129" t="s">
        <v>57</v>
      </c>
      <c r="C84" s="317">
        <f>+C85+C86</f>
        <v>0</v>
      </c>
      <c r="D84" s="90"/>
      <c r="H84" s="80"/>
    </row>
    <row r="85" spans="1:8" hidden="1" x14ac:dyDescent="0.2">
      <c r="A85" s="91" t="s">
        <v>123</v>
      </c>
      <c r="B85" s="102" t="s">
        <v>59</v>
      </c>
      <c r="C85" s="318">
        <v>0</v>
      </c>
      <c r="D85" s="90"/>
      <c r="H85" s="80"/>
    </row>
    <row r="86" spans="1:8" hidden="1" x14ac:dyDescent="0.2">
      <c r="A86" s="91" t="s">
        <v>124</v>
      </c>
      <c r="B86" s="102" t="s">
        <v>61</v>
      </c>
      <c r="C86" s="318">
        <v>0</v>
      </c>
      <c r="D86" s="90"/>
      <c r="H86" s="80"/>
    </row>
    <row r="87" spans="1:8" hidden="1" x14ac:dyDescent="0.2">
      <c r="A87" s="91"/>
      <c r="B87" s="102"/>
      <c r="C87" s="318"/>
      <c r="D87" s="90"/>
      <c r="H87" s="80"/>
    </row>
    <row r="88" spans="1:8" hidden="1" x14ac:dyDescent="0.2">
      <c r="A88" s="88" t="s">
        <v>125</v>
      </c>
      <c r="B88" s="129" t="s">
        <v>63</v>
      </c>
      <c r="C88" s="317">
        <f>+C89</f>
        <v>0</v>
      </c>
      <c r="D88" s="90"/>
      <c r="E88" s="80"/>
      <c r="H88" s="80"/>
    </row>
    <row r="89" spans="1:8" hidden="1" x14ac:dyDescent="0.2">
      <c r="A89" s="95" t="s">
        <v>126</v>
      </c>
      <c r="B89" s="133" t="s">
        <v>127</v>
      </c>
      <c r="C89" s="318">
        <v>0</v>
      </c>
      <c r="D89" s="90"/>
      <c r="E89" s="80"/>
      <c r="H89" s="80"/>
    </row>
    <row r="90" spans="1:8" hidden="1" x14ac:dyDescent="0.2">
      <c r="A90" s="100"/>
      <c r="B90" s="136"/>
      <c r="C90" s="318"/>
      <c r="D90" s="90"/>
      <c r="E90" s="80"/>
      <c r="H90" s="80"/>
    </row>
    <row r="91" spans="1:8" hidden="1" x14ac:dyDescent="0.2">
      <c r="A91" s="88" t="s">
        <v>128</v>
      </c>
      <c r="B91" s="129" t="s">
        <v>71</v>
      </c>
      <c r="C91" s="317">
        <f>+C92+C93</f>
        <v>0</v>
      </c>
      <c r="D91" s="90"/>
      <c r="E91" s="80"/>
      <c r="H91" s="80"/>
    </row>
    <row r="92" spans="1:8" hidden="1" x14ac:dyDescent="0.2">
      <c r="A92" s="91" t="s">
        <v>129</v>
      </c>
      <c r="B92" s="102" t="s">
        <v>73</v>
      </c>
      <c r="C92" s="318">
        <v>0</v>
      </c>
      <c r="D92" s="90"/>
      <c r="E92" s="80"/>
      <c r="H92" s="80"/>
    </row>
    <row r="93" spans="1:8" hidden="1" x14ac:dyDescent="0.2">
      <c r="A93" s="91" t="s">
        <v>130</v>
      </c>
      <c r="B93" s="102" t="s">
        <v>75</v>
      </c>
      <c r="C93" s="318">
        <v>0</v>
      </c>
      <c r="D93" s="90"/>
      <c r="E93" s="80"/>
      <c r="H93" s="80"/>
    </row>
    <row r="94" spans="1:8" hidden="1" x14ac:dyDescent="0.2">
      <c r="A94" s="91"/>
      <c r="B94" s="102"/>
      <c r="C94" s="318"/>
      <c r="D94" s="90"/>
      <c r="E94" s="80"/>
      <c r="H94" s="80"/>
    </row>
    <row r="95" spans="1:8" x14ac:dyDescent="0.2">
      <c r="A95" s="91"/>
      <c r="B95" s="102"/>
      <c r="C95" s="318"/>
      <c r="D95" s="90"/>
      <c r="E95" s="80"/>
      <c r="H95" s="80"/>
    </row>
    <row r="96" spans="1:8" x14ac:dyDescent="0.2">
      <c r="A96" s="303" t="s">
        <v>119</v>
      </c>
      <c r="B96" s="304" t="s">
        <v>510</v>
      </c>
      <c r="C96" s="319">
        <f>C97+C100+C104+C107</f>
        <v>5462.82</v>
      </c>
      <c r="E96" s="80"/>
      <c r="H96" s="80"/>
    </row>
    <row r="97" spans="1:8" x14ac:dyDescent="0.2">
      <c r="A97" s="88" t="s">
        <v>120</v>
      </c>
      <c r="B97" s="129" t="s">
        <v>53</v>
      </c>
      <c r="C97" s="317">
        <f>C98</f>
        <v>4344</v>
      </c>
      <c r="D97" s="90"/>
      <c r="E97" s="80"/>
      <c r="H97" s="80"/>
    </row>
    <row r="98" spans="1:8" x14ac:dyDescent="0.2">
      <c r="A98" s="91" t="s">
        <v>140</v>
      </c>
      <c r="B98" s="102" t="s">
        <v>141</v>
      </c>
      <c r="C98" s="318">
        <v>4344</v>
      </c>
      <c r="D98" s="90"/>
      <c r="E98" s="80"/>
      <c r="H98" s="80"/>
    </row>
    <row r="99" spans="1:8" x14ac:dyDescent="0.2">
      <c r="A99" s="88"/>
      <c r="B99" s="129"/>
      <c r="C99" s="317"/>
      <c r="D99" s="90"/>
      <c r="E99" s="80"/>
      <c r="H99" s="80"/>
    </row>
    <row r="100" spans="1:8" x14ac:dyDescent="0.2">
      <c r="A100" s="88" t="s">
        <v>122</v>
      </c>
      <c r="B100" s="129" t="s">
        <v>57</v>
      </c>
      <c r="C100" s="317">
        <f>+C101+C102</f>
        <v>540.62</v>
      </c>
      <c r="D100" s="90"/>
      <c r="E100" s="80"/>
      <c r="H100" s="80"/>
    </row>
    <row r="101" spans="1:8" x14ac:dyDescent="0.2">
      <c r="A101" s="91" t="s">
        <v>123</v>
      </c>
      <c r="B101" s="102" t="s">
        <v>59</v>
      </c>
      <c r="C101" s="318">
        <v>334.12</v>
      </c>
      <c r="D101" s="90"/>
      <c r="E101" s="80"/>
      <c r="H101" s="80"/>
    </row>
    <row r="102" spans="1:8" x14ac:dyDescent="0.2">
      <c r="A102" s="91" t="s">
        <v>124</v>
      </c>
      <c r="B102" s="102" t="s">
        <v>61</v>
      </c>
      <c r="C102" s="318">
        <v>206.5</v>
      </c>
      <c r="D102" s="90"/>
      <c r="E102" s="80"/>
      <c r="H102" s="80"/>
    </row>
    <row r="103" spans="1:8" x14ac:dyDescent="0.2">
      <c r="A103" s="88"/>
      <c r="B103" s="129"/>
      <c r="C103" s="317"/>
      <c r="D103" s="90"/>
      <c r="E103" s="80"/>
      <c r="H103" s="80"/>
    </row>
    <row r="104" spans="1:8" x14ac:dyDescent="0.2">
      <c r="A104" s="88" t="s">
        <v>128</v>
      </c>
      <c r="B104" s="129" t="s">
        <v>71</v>
      </c>
      <c r="C104" s="317">
        <f>+C105+C106</f>
        <v>487.7</v>
      </c>
      <c r="D104" s="90"/>
      <c r="E104" s="80"/>
      <c r="H104" s="80"/>
    </row>
    <row r="105" spans="1:8" x14ac:dyDescent="0.2">
      <c r="A105" s="91" t="s">
        <v>129</v>
      </c>
      <c r="B105" s="102" t="s">
        <v>73</v>
      </c>
      <c r="C105" s="318">
        <v>487.7</v>
      </c>
      <c r="D105" s="90"/>
      <c r="E105" s="80"/>
      <c r="H105" s="80"/>
    </row>
    <row r="106" spans="1:8" x14ac:dyDescent="0.2">
      <c r="A106" s="91"/>
      <c r="B106" s="102"/>
      <c r="C106" s="318"/>
      <c r="D106" s="90"/>
      <c r="E106" s="80"/>
      <c r="H106" s="80"/>
    </row>
    <row r="107" spans="1:8" x14ac:dyDescent="0.2">
      <c r="A107" s="88" t="s">
        <v>353</v>
      </c>
      <c r="B107" s="129" t="s">
        <v>354</v>
      </c>
      <c r="C107" s="317">
        <f>+C108</f>
        <v>90.5</v>
      </c>
      <c r="D107" s="90"/>
      <c r="E107" s="80"/>
      <c r="H107" s="80"/>
    </row>
    <row r="108" spans="1:8" s="100" customFormat="1" x14ac:dyDescent="0.2">
      <c r="A108" s="91" t="s">
        <v>355</v>
      </c>
      <c r="B108" s="102" t="s">
        <v>507</v>
      </c>
      <c r="C108" s="318">
        <v>90.5</v>
      </c>
      <c r="D108" s="90"/>
      <c r="G108" s="330"/>
    </row>
    <row r="109" spans="1:8" x14ac:dyDescent="0.2">
      <c r="A109" s="91"/>
      <c r="B109" s="102"/>
      <c r="C109" s="318"/>
      <c r="D109" s="90"/>
      <c r="E109" s="80"/>
      <c r="H109" s="80"/>
    </row>
    <row r="110" spans="1:8" x14ac:dyDescent="0.2">
      <c r="A110" s="303" t="s">
        <v>131</v>
      </c>
      <c r="B110" s="304" t="s">
        <v>520</v>
      </c>
      <c r="C110" s="319">
        <f>C111+C114+C117</f>
        <v>12364.57</v>
      </c>
      <c r="D110" s="90"/>
      <c r="E110" s="80"/>
      <c r="H110" s="80"/>
    </row>
    <row r="111" spans="1:8" x14ac:dyDescent="0.2">
      <c r="A111" s="88" t="s">
        <v>135</v>
      </c>
      <c r="B111" s="129" t="s">
        <v>477</v>
      </c>
      <c r="C111" s="317">
        <f>C112</f>
        <v>2066.96</v>
      </c>
      <c r="D111" s="90"/>
      <c r="E111" s="80"/>
      <c r="H111" s="80"/>
    </row>
    <row r="112" spans="1:8" x14ac:dyDescent="0.2">
      <c r="A112" s="91" t="s">
        <v>136</v>
      </c>
      <c r="B112" s="102" t="s">
        <v>478</v>
      </c>
      <c r="C112" s="318">
        <v>2066.96</v>
      </c>
      <c r="D112" s="90"/>
      <c r="E112" s="80"/>
      <c r="H112" s="80"/>
    </row>
    <row r="113" spans="1:8" x14ac:dyDescent="0.2">
      <c r="A113" s="91"/>
      <c r="B113" s="102"/>
      <c r="C113" s="318"/>
      <c r="D113" s="90"/>
      <c r="E113" s="80"/>
      <c r="H113" s="80"/>
    </row>
    <row r="114" spans="1:8" x14ac:dyDescent="0.2">
      <c r="A114" s="88" t="s">
        <v>134</v>
      </c>
      <c r="B114" s="129" t="s">
        <v>362</v>
      </c>
      <c r="C114" s="317">
        <f>C115</f>
        <v>1700</v>
      </c>
      <c r="D114" s="90"/>
      <c r="E114" s="80"/>
      <c r="H114" s="80"/>
    </row>
    <row r="115" spans="1:8" x14ac:dyDescent="0.2">
      <c r="A115" s="91" t="s">
        <v>449</v>
      </c>
      <c r="B115" s="102" t="s">
        <v>479</v>
      </c>
      <c r="C115" s="318">
        <v>1700</v>
      </c>
      <c r="D115" s="90"/>
      <c r="E115" s="80"/>
      <c r="H115" s="80"/>
    </row>
    <row r="116" spans="1:8" x14ac:dyDescent="0.2">
      <c r="A116" s="91"/>
      <c r="B116" s="102"/>
      <c r="C116" s="318"/>
      <c r="D116" s="90"/>
      <c r="E116" s="80"/>
      <c r="H116" s="80"/>
    </row>
    <row r="117" spans="1:8" x14ac:dyDescent="0.2">
      <c r="A117" s="88" t="s">
        <v>137</v>
      </c>
      <c r="B117" s="129" t="s">
        <v>480</v>
      </c>
      <c r="C117" s="317">
        <f>C118+C119+C120</f>
        <v>8597.61</v>
      </c>
      <c r="D117" s="90"/>
      <c r="E117" s="80"/>
      <c r="H117" s="80"/>
    </row>
    <row r="118" spans="1:8" x14ac:dyDescent="0.2">
      <c r="A118" s="91" t="s">
        <v>159</v>
      </c>
      <c r="B118" s="102" t="s">
        <v>160</v>
      </c>
      <c r="C118" s="318">
        <v>8143.61</v>
      </c>
      <c r="D118" s="90"/>
      <c r="E118" s="80"/>
      <c r="H118" s="80"/>
    </row>
    <row r="119" spans="1:8" x14ac:dyDescent="0.2">
      <c r="A119" s="91" t="s">
        <v>230</v>
      </c>
      <c r="B119" s="102" t="s">
        <v>481</v>
      </c>
      <c r="C119" s="318">
        <v>300</v>
      </c>
      <c r="D119" s="90"/>
      <c r="E119" s="80"/>
      <c r="H119" s="80"/>
    </row>
    <row r="120" spans="1:8" x14ac:dyDescent="0.2">
      <c r="A120" s="91" t="s">
        <v>482</v>
      </c>
      <c r="B120" s="102" t="s">
        <v>483</v>
      </c>
      <c r="C120" s="318">
        <v>154</v>
      </c>
      <c r="D120" s="90"/>
      <c r="E120" s="80"/>
      <c r="H120" s="80"/>
    </row>
    <row r="121" spans="1:8" x14ac:dyDescent="0.2">
      <c r="E121" s="80"/>
      <c r="H121" s="80"/>
    </row>
    <row r="122" spans="1:8" x14ac:dyDescent="0.2">
      <c r="A122" s="80"/>
      <c r="E122" s="80"/>
      <c r="H122" s="80"/>
    </row>
    <row r="123" spans="1:8" x14ac:dyDescent="0.2">
      <c r="A123" s="81"/>
      <c r="B123" s="296" t="s">
        <v>539</v>
      </c>
      <c r="D123" s="338">
        <v>800</v>
      </c>
      <c r="E123" s="80"/>
      <c r="H123" s="80"/>
    </row>
    <row r="124" spans="1:8" x14ac:dyDescent="0.2">
      <c r="A124" s="335"/>
      <c r="E124" s="80"/>
      <c r="H124" s="80"/>
    </row>
    <row r="125" spans="1:8" x14ac:dyDescent="0.2">
      <c r="A125" s="344" t="s">
        <v>131</v>
      </c>
      <c r="B125" s="345" t="s">
        <v>520</v>
      </c>
      <c r="C125" s="361">
        <v>800</v>
      </c>
      <c r="D125" s="346"/>
      <c r="H125" s="80"/>
    </row>
    <row r="126" spans="1:8" x14ac:dyDescent="0.2">
      <c r="A126" s="91" t="s">
        <v>132</v>
      </c>
      <c r="B126" s="102" t="s">
        <v>84</v>
      </c>
      <c r="C126" s="318">
        <v>800</v>
      </c>
      <c r="D126" s="90"/>
      <c r="H126" s="80"/>
    </row>
    <row r="127" spans="1:8" x14ac:dyDescent="0.2">
      <c r="A127" s="91" t="s">
        <v>538</v>
      </c>
      <c r="B127" s="102" t="s">
        <v>569</v>
      </c>
      <c r="C127" s="318">
        <v>800</v>
      </c>
      <c r="D127" s="90"/>
      <c r="H127" s="80"/>
    </row>
    <row r="128" spans="1:8" x14ac:dyDescent="0.2">
      <c r="H128" s="80"/>
    </row>
    <row r="129" spans="1:8" x14ac:dyDescent="0.2">
      <c r="H129" s="80"/>
    </row>
    <row r="130" spans="1:8" x14ac:dyDescent="0.2">
      <c r="H130" s="80"/>
    </row>
    <row r="131" spans="1:8" x14ac:dyDescent="0.2">
      <c r="A131" s="81" t="s">
        <v>393</v>
      </c>
      <c r="B131" s="135" t="s">
        <v>138</v>
      </c>
      <c r="E131" s="80"/>
      <c r="H131" s="80"/>
    </row>
    <row r="132" spans="1:8" x14ac:dyDescent="0.2">
      <c r="A132" s="81" t="s">
        <v>392</v>
      </c>
      <c r="B132" s="135" t="s">
        <v>37</v>
      </c>
      <c r="E132" s="80"/>
      <c r="H132" s="80"/>
    </row>
    <row r="133" spans="1:8" x14ac:dyDescent="0.2">
      <c r="H133" s="80"/>
    </row>
    <row r="134" spans="1:8" x14ac:dyDescent="0.2">
      <c r="A134" s="88" t="s">
        <v>48</v>
      </c>
      <c r="B134" s="129" t="s">
        <v>49</v>
      </c>
      <c r="C134" s="317"/>
      <c r="D134" s="90"/>
      <c r="E134" s="80"/>
      <c r="H134" s="80"/>
    </row>
    <row r="135" spans="1:8" x14ac:dyDescent="0.2">
      <c r="A135" s="88"/>
      <c r="B135" s="129"/>
      <c r="C135" s="317"/>
      <c r="D135" s="90"/>
      <c r="E135" s="80"/>
      <c r="H135" s="80"/>
    </row>
    <row r="136" spans="1:8" ht="22.5" x14ac:dyDescent="0.2">
      <c r="A136" s="91"/>
      <c r="B136" s="294" t="s">
        <v>435</v>
      </c>
      <c r="C136" s="318"/>
      <c r="D136" s="299">
        <f>C138+C142+C146+C149</f>
        <v>5426.82</v>
      </c>
      <c r="E136" s="80"/>
      <c r="H136" s="80"/>
    </row>
    <row r="137" spans="1:8" x14ac:dyDescent="0.2">
      <c r="A137" s="303" t="s">
        <v>119</v>
      </c>
      <c r="B137" s="304" t="s">
        <v>510</v>
      </c>
      <c r="C137" s="319">
        <f>C138+C142+C146+C149</f>
        <v>5426.82</v>
      </c>
      <c r="D137" s="90"/>
      <c r="E137" s="99"/>
      <c r="F137" s="99"/>
      <c r="H137" s="80"/>
    </row>
    <row r="138" spans="1:8" x14ac:dyDescent="0.2">
      <c r="A138" s="88" t="s">
        <v>120</v>
      </c>
      <c r="B138" s="129" t="s">
        <v>53</v>
      </c>
      <c r="C138" s="317">
        <f>+C139+C140</f>
        <v>4308</v>
      </c>
      <c r="D138" s="90"/>
      <c r="E138" s="80"/>
      <c r="H138" s="80"/>
    </row>
    <row r="139" spans="1:8" hidden="1" x14ac:dyDescent="0.2">
      <c r="A139" s="91" t="s">
        <v>121</v>
      </c>
      <c r="B139" s="102" t="s">
        <v>55</v>
      </c>
      <c r="C139" s="318">
        <v>0</v>
      </c>
      <c r="D139" s="90"/>
      <c r="E139" s="99"/>
      <c r="H139" s="80"/>
    </row>
    <row r="140" spans="1:8" x14ac:dyDescent="0.2">
      <c r="A140" s="91" t="s">
        <v>140</v>
      </c>
      <c r="B140" s="102" t="s">
        <v>141</v>
      </c>
      <c r="C140" s="318">
        <v>4308</v>
      </c>
      <c r="D140" s="90"/>
      <c r="E140" s="80"/>
      <c r="H140" s="80"/>
    </row>
    <row r="141" spans="1:8" x14ac:dyDescent="0.2">
      <c r="A141" s="88"/>
      <c r="B141" s="129"/>
      <c r="C141" s="317"/>
      <c r="D141" s="90"/>
      <c r="E141" s="80"/>
      <c r="H141" s="80"/>
    </row>
    <row r="142" spans="1:8" x14ac:dyDescent="0.2">
      <c r="A142" s="88" t="s">
        <v>122</v>
      </c>
      <c r="B142" s="129" t="s">
        <v>57</v>
      </c>
      <c r="C142" s="317">
        <f>+C143+C144</f>
        <v>540.62</v>
      </c>
      <c r="D142" s="90"/>
      <c r="E142" s="80"/>
      <c r="H142" s="80"/>
    </row>
    <row r="143" spans="1:8" x14ac:dyDescent="0.2">
      <c r="A143" s="91" t="s">
        <v>123</v>
      </c>
      <c r="B143" s="102" t="s">
        <v>59</v>
      </c>
      <c r="C143" s="318">
        <v>334.12</v>
      </c>
      <c r="D143" s="90"/>
      <c r="E143" s="99"/>
      <c r="H143" s="80"/>
    </row>
    <row r="144" spans="1:8" x14ac:dyDescent="0.2">
      <c r="A144" s="91" t="s">
        <v>124</v>
      </c>
      <c r="B144" s="102" t="s">
        <v>61</v>
      </c>
      <c r="C144" s="318">
        <v>206.5</v>
      </c>
      <c r="D144" s="90"/>
      <c r="E144" s="99"/>
      <c r="H144" s="80"/>
    </row>
    <row r="145" spans="1:8" x14ac:dyDescent="0.2">
      <c r="A145" s="88"/>
      <c r="B145" s="129"/>
      <c r="C145" s="317"/>
      <c r="D145" s="90"/>
      <c r="E145" s="80"/>
      <c r="H145" s="80"/>
    </row>
    <row r="146" spans="1:8" x14ac:dyDescent="0.2">
      <c r="A146" s="88" t="s">
        <v>128</v>
      </c>
      <c r="B146" s="129" t="s">
        <v>71</v>
      </c>
      <c r="C146" s="317">
        <f>+C147+C148</f>
        <v>487.7</v>
      </c>
      <c r="D146" s="90"/>
      <c r="E146" s="80"/>
      <c r="H146" s="80"/>
    </row>
    <row r="147" spans="1:8" x14ac:dyDescent="0.2">
      <c r="A147" s="91" t="s">
        <v>129</v>
      </c>
      <c r="B147" s="102" t="s">
        <v>73</v>
      </c>
      <c r="C147" s="318">
        <v>487.7</v>
      </c>
      <c r="D147" s="90"/>
      <c r="E147" s="80"/>
      <c r="H147" s="80"/>
    </row>
    <row r="148" spans="1:8" x14ac:dyDescent="0.2">
      <c r="A148" s="91"/>
      <c r="B148" s="102"/>
      <c r="C148" s="318"/>
      <c r="D148" s="90"/>
      <c r="E148" s="80"/>
      <c r="H148" s="80"/>
    </row>
    <row r="149" spans="1:8" x14ac:dyDescent="0.2">
      <c r="A149" s="88" t="s">
        <v>353</v>
      </c>
      <c r="B149" s="129" t="s">
        <v>354</v>
      </c>
      <c r="C149" s="317">
        <f>+C150</f>
        <v>90.5</v>
      </c>
      <c r="D149" s="90"/>
      <c r="E149" s="80"/>
      <c r="H149" s="80"/>
    </row>
    <row r="150" spans="1:8" x14ac:dyDescent="0.2">
      <c r="A150" s="91" t="s">
        <v>355</v>
      </c>
      <c r="B150" s="102" t="s">
        <v>507</v>
      </c>
      <c r="C150" s="318">
        <v>90.5</v>
      </c>
      <c r="D150" s="90"/>
      <c r="E150" s="80"/>
      <c r="H150" s="80"/>
    </row>
    <row r="151" spans="1:8" x14ac:dyDescent="0.2">
      <c r="A151" s="256"/>
      <c r="B151" s="102"/>
      <c r="C151" s="321"/>
      <c r="D151" s="257"/>
      <c r="E151" s="80"/>
      <c r="H151" s="80"/>
    </row>
    <row r="152" spans="1:8" x14ac:dyDescent="0.2">
      <c r="A152" s="256"/>
      <c r="B152" s="102"/>
      <c r="C152" s="321"/>
      <c r="D152" s="257"/>
      <c r="E152" s="80"/>
      <c r="H152" s="80"/>
    </row>
    <row r="153" spans="1:8" x14ac:dyDescent="0.2">
      <c r="A153" s="256"/>
      <c r="B153" s="353" t="s">
        <v>590</v>
      </c>
      <c r="C153" s="321"/>
      <c r="D153" s="257">
        <f>C155</f>
        <v>89.7</v>
      </c>
      <c r="E153" s="80"/>
      <c r="H153" s="80"/>
    </row>
    <row r="154" spans="1:8" x14ac:dyDescent="0.2">
      <c r="A154" s="256"/>
      <c r="B154" s="102"/>
      <c r="C154" s="321"/>
      <c r="D154" s="257"/>
      <c r="E154" s="80"/>
      <c r="H154" s="80"/>
    </row>
    <row r="155" spans="1:8" x14ac:dyDescent="0.2">
      <c r="A155" s="256" t="s">
        <v>119</v>
      </c>
      <c r="B155" s="304" t="s">
        <v>510</v>
      </c>
      <c r="C155" s="321">
        <f>C156</f>
        <v>89.7</v>
      </c>
      <c r="D155" s="257"/>
      <c r="E155" s="80"/>
      <c r="H155" s="80"/>
    </row>
    <row r="156" spans="1:8" x14ac:dyDescent="0.2">
      <c r="A156" s="256" t="s">
        <v>128</v>
      </c>
      <c r="B156" s="129" t="s">
        <v>71</v>
      </c>
      <c r="C156" s="321">
        <f>C157</f>
        <v>89.7</v>
      </c>
      <c r="D156" s="257"/>
      <c r="E156" s="80"/>
      <c r="H156" s="80"/>
    </row>
    <row r="157" spans="1:8" x14ac:dyDescent="0.2">
      <c r="A157" s="256" t="s">
        <v>130</v>
      </c>
      <c r="B157" s="102" t="s">
        <v>591</v>
      </c>
      <c r="C157" s="321">
        <v>89.7</v>
      </c>
      <c r="D157" s="257"/>
      <c r="E157" s="80"/>
      <c r="H157" s="80"/>
    </row>
    <row r="158" spans="1:8" x14ac:dyDescent="0.2">
      <c r="A158" s="256"/>
      <c r="B158" s="102"/>
      <c r="C158" s="321"/>
      <c r="D158" s="257"/>
      <c r="E158" s="80"/>
      <c r="H158" s="80"/>
    </row>
    <row r="159" spans="1:8" x14ac:dyDescent="0.2">
      <c r="A159" s="256"/>
      <c r="B159" s="129" t="s">
        <v>592</v>
      </c>
      <c r="C159" s="321"/>
      <c r="D159" s="257">
        <f>C161</f>
        <v>101.61</v>
      </c>
      <c r="E159" s="80"/>
      <c r="H159" s="80"/>
    </row>
    <row r="160" spans="1:8" x14ac:dyDescent="0.2">
      <c r="A160" s="256"/>
      <c r="B160" s="102"/>
      <c r="C160" s="321"/>
      <c r="D160" s="257"/>
      <c r="E160" s="80"/>
      <c r="H160" s="80"/>
    </row>
    <row r="161" spans="1:8" x14ac:dyDescent="0.2">
      <c r="A161" s="256" t="s">
        <v>131</v>
      </c>
      <c r="B161" s="304" t="s">
        <v>521</v>
      </c>
      <c r="C161" s="321">
        <f>C162</f>
        <v>101.61</v>
      </c>
      <c r="D161" s="257"/>
      <c r="E161" s="80"/>
      <c r="H161" s="80"/>
    </row>
    <row r="162" spans="1:8" x14ac:dyDescent="0.2">
      <c r="A162" s="256" t="s">
        <v>137</v>
      </c>
      <c r="B162" s="137" t="s">
        <v>375</v>
      </c>
      <c r="C162" s="321">
        <f>C163</f>
        <v>101.61</v>
      </c>
      <c r="D162" s="257"/>
      <c r="E162" s="80"/>
      <c r="H162" s="80"/>
    </row>
    <row r="163" spans="1:8" ht="12.75" customHeight="1" x14ac:dyDescent="0.2">
      <c r="A163" s="256" t="s">
        <v>593</v>
      </c>
      <c r="B163" s="102" t="s">
        <v>594</v>
      </c>
      <c r="C163" s="321">
        <v>101.61</v>
      </c>
      <c r="D163" s="257"/>
      <c r="E163" s="80"/>
      <c r="H163" s="80"/>
    </row>
    <row r="164" spans="1:8" x14ac:dyDescent="0.2">
      <c r="A164" s="256"/>
      <c r="B164" s="102"/>
      <c r="C164" s="321"/>
      <c r="D164" s="257"/>
      <c r="E164" s="80"/>
      <c r="H164" s="80"/>
    </row>
    <row r="165" spans="1:8" ht="22.5" x14ac:dyDescent="0.2">
      <c r="A165" s="256"/>
      <c r="B165" s="294" t="s">
        <v>485</v>
      </c>
      <c r="C165" s="318"/>
      <c r="D165" s="299">
        <f>C167</f>
        <v>8662.7900000000009</v>
      </c>
      <c r="E165" s="80"/>
      <c r="H165" s="80"/>
    </row>
    <row r="166" spans="1:8" x14ac:dyDescent="0.2">
      <c r="A166" s="307" t="s">
        <v>119</v>
      </c>
      <c r="B166" s="304" t="s">
        <v>510</v>
      </c>
      <c r="C166" s="318"/>
      <c r="D166" s="90"/>
      <c r="E166" s="80"/>
      <c r="H166" s="80"/>
    </row>
    <row r="167" spans="1:8" x14ac:dyDescent="0.2">
      <c r="A167" s="339" t="s">
        <v>509</v>
      </c>
      <c r="B167" s="129" t="s">
        <v>63</v>
      </c>
      <c r="C167" s="319">
        <f>+C168</f>
        <v>8662.7900000000009</v>
      </c>
      <c r="D167" s="280"/>
      <c r="E167" s="80"/>
      <c r="H167" s="80"/>
    </row>
    <row r="168" spans="1:8" x14ac:dyDescent="0.2">
      <c r="A168" s="340" t="s">
        <v>126</v>
      </c>
      <c r="B168" s="102" t="s">
        <v>570</v>
      </c>
      <c r="C168" s="318">
        <v>8662.7900000000009</v>
      </c>
      <c r="D168" s="90"/>
      <c r="E168" s="80"/>
      <c r="H168" s="80"/>
    </row>
    <row r="169" spans="1:8" x14ac:dyDescent="0.2">
      <c r="B169" s="102"/>
      <c r="C169" s="318"/>
      <c r="D169" s="90"/>
      <c r="E169" s="80"/>
      <c r="H169" s="80"/>
    </row>
    <row r="170" spans="1:8" x14ac:dyDescent="0.2">
      <c r="A170" s="274" t="s">
        <v>426</v>
      </c>
      <c r="B170" s="129" t="s">
        <v>427</v>
      </c>
      <c r="C170" s="318"/>
      <c r="D170" s="90"/>
      <c r="E170" s="80"/>
      <c r="H170" s="80"/>
    </row>
    <row r="171" spans="1:8" x14ac:dyDescent="0.2">
      <c r="A171" s="276"/>
      <c r="B171" s="280"/>
      <c r="C171" s="318"/>
      <c r="D171" s="90"/>
      <c r="E171" s="80"/>
      <c r="H171" s="80"/>
    </row>
    <row r="172" spans="1:8" ht="22.5" x14ac:dyDescent="0.2">
      <c r="A172" s="91"/>
      <c r="B172" s="294" t="s">
        <v>498</v>
      </c>
      <c r="C172" s="318"/>
      <c r="D172" s="299">
        <f>+C173</f>
        <v>3610.94</v>
      </c>
      <c r="E172" s="80"/>
      <c r="H172" s="80"/>
    </row>
    <row r="173" spans="1:8" x14ac:dyDescent="0.2">
      <c r="A173" s="303" t="s">
        <v>131</v>
      </c>
      <c r="B173" s="304" t="s">
        <v>521</v>
      </c>
      <c r="C173" s="319">
        <f>C174</f>
        <v>3610.94</v>
      </c>
      <c r="D173" s="90"/>
      <c r="E173" s="99"/>
      <c r="F173" s="99"/>
      <c r="H173" s="80"/>
    </row>
    <row r="174" spans="1:8" x14ac:dyDescent="0.2">
      <c r="A174" s="88" t="s">
        <v>241</v>
      </c>
      <c r="B174" s="129" t="s">
        <v>78</v>
      </c>
      <c r="C174" s="317">
        <f>C175+C176+C177</f>
        <v>3610.94</v>
      </c>
      <c r="D174" s="90"/>
      <c r="E174" s="99"/>
      <c r="F174" s="99"/>
      <c r="H174" s="80"/>
    </row>
    <row r="175" spans="1:8" ht="12" customHeight="1" x14ac:dyDescent="0.2">
      <c r="A175" s="91" t="s">
        <v>242</v>
      </c>
      <c r="B175" s="102" t="s">
        <v>252</v>
      </c>
      <c r="C175" s="318">
        <v>910.3</v>
      </c>
      <c r="D175" s="90"/>
      <c r="E175" s="99"/>
      <c r="F175" s="99"/>
      <c r="H175" s="80"/>
    </row>
    <row r="176" spans="1:8" x14ac:dyDescent="0.2">
      <c r="A176" s="91" t="s">
        <v>356</v>
      </c>
      <c r="B176" s="102" t="s">
        <v>357</v>
      </c>
      <c r="C176" s="318">
        <v>1900.64</v>
      </c>
      <c r="D176" s="90"/>
      <c r="E176" s="99"/>
      <c r="F176" s="99"/>
      <c r="H176" s="80"/>
    </row>
    <row r="177" spans="1:8" x14ac:dyDescent="0.2">
      <c r="A177" s="91" t="s">
        <v>361</v>
      </c>
      <c r="B177" s="102" t="s">
        <v>358</v>
      </c>
      <c r="C177" s="318">
        <v>800</v>
      </c>
      <c r="D177" s="90"/>
      <c r="E177" s="99"/>
      <c r="F177" s="99"/>
      <c r="H177" s="80"/>
    </row>
    <row r="178" spans="1:8" x14ac:dyDescent="0.2">
      <c r="A178" s="91"/>
      <c r="B178" s="102"/>
      <c r="C178" s="318"/>
      <c r="D178" s="90"/>
      <c r="E178" s="99"/>
      <c r="F178" s="99"/>
      <c r="H178" s="80"/>
    </row>
    <row r="179" spans="1:8" x14ac:dyDescent="0.2">
      <c r="A179" s="91"/>
      <c r="B179" s="102"/>
      <c r="C179" s="318"/>
      <c r="D179" s="90"/>
      <c r="E179" s="99"/>
      <c r="F179" s="99"/>
      <c r="H179" s="80"/>
    </row>
    <row r="180" spans="1:8" x14ac:dyDescent="0.2">
      <c r="A180" s="91"/>
      <c r="B180" s="298" t="s">
        <v>428</v>
      </c>
      <c r="C180" s="318"/>
      <c r="D180" s="299">
        <f>C181+C185</f>
        <v>10876.52</v>
      </c>
      <c r="E180" s="99"/>
      <c r="F180" s="99"/>
      <c r="H180" s="80"/>
    </row>
    <row r="181" spans="1:8" x14ac:dyDescent="0.2">
      <c r="A181" s="303" t="s">
        <v>131</v>
      </c>
      <c r="B181" s="304" t="s">
        <v>521</v>
      </c>
      <c r="C181" s="319">
        <f>SUM(C182)</f>
        <v>10376.52</v>
      </c>
      <c r="D181" s="90"/>
      <c r="E181" s="99"/>
      <c r="F181" s="99"/>
      <c r="H181" s="80"/>
    </row>
    <row r="182" spans="1:8" x14ac:dyDescent="0.2">
      <c r="A182" s="88" t="s">
        <v>132</v>
      </c>
      <c r="B182" s="129" t="s">
        <v>84</v>
      </c>
      <c r="C182" s="317">
        <f>SUM(C183)</f>
        <v>10376.52</v>
      </c>
      <c r="D182" s="90"/>
      <c r="E182" s="99"/>
      <c r="H182" s="80"/>
    </row>
    <row r="183" spans="1:8" ht="22.5" x14ac:dyDescent="0.2">
      <c r="A183" s="91" t="s">
        <v>240</v>
      </c>
      <c r="B183" s="102" t="s">
        <v>432</v>
      </c>
      <c r="C183" s="318">
        <v>10376.52</v>
      </c>
      <c r="D183" s="90"/>
      <c r="E183" s="99"/>
      <c r="H183" s="80"/>
    </row>
    <row r="184" spans="1:8" x14ac:dyDescent="0.2">
      <c r="A184" s="91"/>
      <c r="B184" s="102"/>
      <c r="C184" s="318"/>
      <c r="D184" s="90"/>
      <c r="E184" s="99"/>
      <c r="H184" s="80"/>
    </row>
    <row r="185" spans="1:8" x14ac:dyDescent="0.2">
      <c r="A185" s="88" t="s">
        <v>134</v>
      </c>
      <c r="B185" s="129" t="s">
        <v>362</v>
      </c>
      <c r="C185" s="317">
        <f>C186</f>
        <v>500</v>
      </c>
      <c r="D185" s="90"/>
      <c r="E185" s="99"/>
      <c r="H185" s="80"/>
    </row>
    <row r="186" spans="1:8" x14ac:dyDescent="0.2">
      <c r="A186" s="91" t="s">
        <v>449</v>
      </c>
      <c r="B186" s="102" t="s">
        <v>479</v>
      </c>
      <c r="C186" s="318">
        <v>500</v>
      </c>
      <c r="D186" s="90"/>
      <c r="E186" s="99"/>
      <c r="H186" s="80"/>
    </row>
    <row r="187" spans="1:8" x14ac:dyDescent="0.2">
      <c r="A187" s="91"/>
      <c r="B187" s="102"/>
      <c r="C187" s="318"/>
      <c r="D187" s="90"/>
      <c r="E187" s="99"/>
      <c r="H187" s="80"/>
    </row>
    <row r="188" spans="1:8" x14ac:dyDescent="0.2">
      <c r="A188" s="91"/>
      <c r="B188" s="294" t="s">
        <v>455</v>
      </c>
      <c r="C188" s="318"/>
      <c r="D188" s="299">
        <f>+C190</f>
        <v>3240</v>
      </c>
      <c r="E188" s="99"/>
      <c r="H188" s="80"/>
    </row>
    <row r="189" spans="1:8" x14ac:dyDescent="0.2">
      <c r="A189" s="91"/>
      <c r="B189" s="129"/>
      <c r="C189" s="318"/>
      <c r="D189" s="90"/>
      <c r="E189" s="99"/>
      <c r="H189" s="80"/>
    </row>
    <row r="190" spans="1:8" x14ac:dyDescent="0.2">
      <c r="A190" s="303" t="s">
        <v>131</v>
      </c>
      <c r="B190" s="304" t="s">
        <v>522</v>
      </c>
      <c r="C190" s="319">
        <f>C191+C194</f>
        <v>3240</v>
      </c>
      <c r="D190" s="90"/>
      <c r="E190" s="99"/>
      <c r="H190" s="80"/>
    </row>
    <row r="191" spans="1:8" x14ac:dyDescent="0.2">
      <c r="A191" s="88" t="s">
        <v>125</v>
      </c>
      <c r="B191" s="129" t="s">
        <v>366</v>
      </c>
      <c r="C191" s="317">
        <f>+C192</f>
        <v>740</v>
      </c>
      <c r="D191" s="90"/>
      <c r="E191" s="99"/>
      <c r="H191" s="80"/>
    </row>
    <row r="192" spans="1:8" x14ac:dyDescent="0.2">
      <c r="A192" s="91" t="s">
        <v>456</v>
      </c>
      <c r="B192" s="102" t="s">
        <v>571</v>
      </c>
      <c r="C192" s="318">
        <v>740</v>
      </c>
      <c r="D192" s="90"/>
      <c r="E192" s="99"/>
      <c r="H192" s="80"/>
    </row>
    <row r="193" spans="1:8" x14ac:dyDescent="0.2">
      <c r="A193" s="91"/>
      <c r="B193" s="102"/>
      <c r="C193" s="318"/>
      <c r="D193" s="90"/>
      <c r="E193" s="99"/>
      <c r="H193" s="80"/>
    </row>
    <row r="194" spans="1:8" x14ac:dyDescent="0.2">
      <c r="A194" s="88" t="s">
        <v>137</v>
      </c>
      <c r="B194" s="137" t="s">
        <v>375</v>
      </c>
      <c r="C194" s="317">
        <f>SUM(C195:C196)</f>
        <v>2500</v>
      </c>
      <c r="D194" s="90"/>
      <c r="E194" s="99"/>
      <c r="H194" s="80"/>
    </row>
    <row r="195" spans="1:8" x14ac:dyDescent="0.2">
      <c r="A195" s="91" t="s">
        <v>397</v>
      </c>
      <c r="B195" s="102" t="s">
        <v>572</v>
      </c>
      <c r="C195" s="318">
        <v>1000</v>
      </c>
      <c r="D195" s="90"/>
      <c r="E195" s="99"/>
      <c r="H195" s="80"/>
    </row>
    <row r="196" spans="1:8" x14ac:dyDescent="0.2">
      <c r="A196" s="91" t="s">
        <v>492</v>
      </c>
      <c r="B196" s="102" t="s">
        <v>457</v>
      </c>
      <c r="C196" s="318">
        <v>1500</v>
      </c>
      <c r="D196" s="90"/>
      <c r="E196" s="99"/>
      <c r="H196" s="80"/>
    </row>
    <row r="197" spans="1:8" x14ac:dyDescent="0.2">
      <c r="E197" s="99"/>
      <c r="H197" s="80"/>
    </row>
    <row r="198" spans="1:8" x14ac:dyDescent="0.2">
      <c r="A198" s="274" t="s">
        <v>394</v>
      </c>
      <c r="B198" s="178" t="s">
        <v>395</v>
      </c>
      <c r="E198" s="99"/>
      <c r="H198" s="80"/>
    </row>
    <row r="199" spans="1:8" ht="22.5" x14ac:dyDescent="0.2">
      <c r="A199" s="275" t="s">
        <v>23</v>
      </c>
      <c r="B199" s="178" t="s">
        <v>434</v>
      </c>
      <c r="E199" s="99"/>
      <c r="H199" s="80"/>
    </row>
    <row r="200" spans="1:8" x14ac:dyDescent="0.2">
      <c r="A200" s="258"/>
      <c r="B200" s="259"/>
      <c r="C200" s="322"/>
      <c r="D200" s="260"/>
      <c r="E200" s="99"/>
      <c r="H200" s="80"/>
    </row>
    <row r="201" spans="1:8" ht="22.5" x14ac:dyDescent="0.2">
      <c r="A201" s="91"/>
      <c r="B201" s="294" t="s">
        <v>433</v>
      </c>
      <c r="C201" s="318"/>
      <c r="D201" s="299">
        <f>C203</f>
        <v>176675.66</v>
      </c>
      <c r="E201" s="99"/>
      <c r="H201" s="80"/>
    </row>
    <row r="202" spans="1:8" x14ac:dyDescent="0.2">
      <c r="A202" s="91"/>
      <c r="B202" s="129"/>
      <c r="C202" s="318"/>
      <c r="D202" s="90"/>
      <c r="E202" s="99"/>
      <c r="H202" s="80"/>
    </row>
    <row r="203" spans="1:8" x14ac:dyDescent="0.2">
      <c r="A203" s="303" t="s">
        <v>131</v>
      </c>
      <c r="B203" s="304" t="s">
        <v>522</v>
      </c>
      <c r="C203" s="319">
        <f>C204+C209+C212</f>
        <v>176675.66</v>
      </c>
      <c r="D203" s="90"/>
      <c r="E203" s="99"/>
      <c r="H203" s="80"/>
    </row>
    <row r="204" spans="1:8" x14ac:dyDescent="0.2">
      <c r="A204" s="88" t="s">
        <v>134</v>
      </c>
      <c r="B204" s="129" t="s">
        <v>362</v>
      </c>
      <c r="C204" s="317">
        <f>C205+C206+C207</f>
        <v>168630.92</v>
      </c>
      <c r="D204" s="90"/>
      <c r="E204" s="99"/>
      <c r="H204" s="80"/>
    </row>
    <row r="205" spans="1:8" ht="21.75" customHeight="1" x14ac:dyDescent="0.2">
      <c r="A205" s="91" t="s">
        <v>254</v>
      </c>
      <c r="B205" s="289" t="s">
        <v>563</v>
      </c>
      <c r="C205" s="318">
        <v>4000</v>
      </c>
      <c r="D205" s="90"/>
      <c r="E205" s="99"/>
      <c r="H205" s="80"/>
    </row>
    <row r="206" spans="1:8" ht="10.5" customHeight="1" x14ac:dyDescent="0.2">
      <c r="A206" s="91" t="s">
        <v>390</v>
      </c>
      <c r="B206" s="102" t="s">
        <v>564</v>
      </c>
      <c r="C206" s="318">
        <v>3000</v>
      </c>
      <c r="D206" s="90"/>
      <c r="E206" s="99"/>
      <c r="H206" s="80"/>
    </row>
    <row r="207" spans="1:8" ht="10.5" customHeight="1" x14ac:dyDescent="0.2">
      <c r="A207" s="91" t="s">
        <v>491</v>
      </c>
      <c r="B207" s="102" t="s">
        <v>565</v>
      </c>
      <c r="C207" s="318">
        <v>161630.92000000001</v>
      </c>
      <c r="D207" s="90"/>
      <c r="E207" s="99"/>
      <c r="H207" s="80"/>
    </row>
    <row r="208" spans="1:8" ht="10.5" customHeight="1" x14ac:dyDescent="0.2">
      <c r="A208" s="91"/>
      <c r="B208" s="102"/>
      <c r="C208" s="318"/>
      <c r="D208" s="90"/>
      <c r="E208" s="99"/>
      <c r="H208" s="80"/>
    </row>
    <row r="209" spans="1:8" ht="10.5" customHeight="1" x14ac:dyDescent="0.2">
      <c r="A209" s="88" t="s">
        <v>135</v>
      </c>
      <c r="B209" s="129" t="s">
        <v>396</v>
      </c>
      <c r="C209" s="317">
        <f>+C210</f>
        <v>1000</v>
      </c>
      <c r="D209" s="90"/>
      <c r="E209" s="99"/>
      <c r="H209" s="80"/>
    </row>
    <row r="210" spans="1:8" ht="10.5" customHeight="1" x14ac:dyDescent="0.2">
      <c r="A210" s="91" t="s">
        <v>363</v>
      </c>
      <c r="B210" s="133" t="s">
        <v>364</v>
      </c>
      <c r="C210" s="318">
        <v>1000</v>
      </c>
      <c r="D210" s="90"/>
      <c r="E210" s="99"/>
      <c r="H210" s="80"/>
    </row>
    <row r="211" spans="1:8" ht="10.5" customHeight="1" x14ac:dyDescent="0.2">
      <c r="A211" s="91"/>
      <c r="B211" s="102"/>
      <c r="C211" s="318"/>
      <c r="D211" s="90"/>
      <c r="E211" s="99"/>
      <c r="H211" s="80"/>
    </row>
    <row r="212" spans="1:8" ht="10.5" customHeight="1" x14ac:dyDescent="0.2">
      <c r="A212" s="88" t="s">
        <v>137</v>
      </c>
      <c r="B212" s="137" t="s">
        <v>375</v>
      </c>
      <c r="C212" s="317">
        <f>C213+C214</f>
        <v>7044.74</v>
      </c>
      <c r="D212" s="90"/>
      <c r="E212" s="99"/>
      <c r="H212" s="80"/>
    </row>
    <row r="213" spans="1:8" ht="10.5" customHeight="1" x14ac:dyDescent="0.2">
      <c r="A213" s="91" t="s">
        <v>397</v>
      </c>
      <c r="B213" s="133" t="s">
        <v>566</v>
      </c>
      <c r="C213" s="318">
        <v>6500</v>
      </c>
      <c r="D213" s="90"/>
      <c r="E213" s="99"/>
      <c r="H213" s="80"/>
    </row>
    <row r="214" spans="1:8" ht="10.5" customHeight="1" x14ac:dyDescent="0.2">
      <c r="A214" s="91" t="s">
        <v>492</v>
      </c>
      <c r="B214" s="292" t="s">
        <v>567</v>
      </c>
      <c r="C214" s="318">
        <v>544.74</v>
      </c>
      <c r="D214" s="90"/>
      <c r="E214" s="99"/>
      <c r="H214" s="80"/>
    </row>
    <row r="215" spans="1:8" ht="10.5" customHeight="1" x14ac:dyDescent="0.2">
      <c r="A215" s="91"/>
      <c r="B215" s="292"/>
      <c r="C215" s="318"/>
      <c r="D215" s="90"/>
      <c r="E215" s="99"/>
      <c r="H215" s="80"/>
    </row>
    <row r="216" spans="1:8" ht="10.5" customHeight="1" x14ac:dyDescent="0.2">
      <c r="A216" s="371"/>
      <c r="B216" s="369" t="s">
        <v>547</v>
      </c>
      <c r="C216" s="373"/>
      <c r="D216" s="375">
        <f>C218</f>
        <v>5000</v>
      </c>
      <c r="E216" s="99"/>
      <c r="H216" s="80"/>
    </row>
    <row r="217" spans="1:8" ht="26.25" customHeight="1" x14ac:dyDescent="0.2">
      <c r="A217" s="372"/>
      <c r="B217" s="370"/>
      <c r="C217" s="374"/>
      <c r="D217" s="376"/>
      <c r="E217" s="99"/>
      <c r="H217" s="80"/>
    </row>
    <row r="218" spans="1:8" ht="10.5" customHeight="1" x14ac:dyDescent="0.2">
      <c r="A218" s="303" t="s">
        <v>501</v>
      </c>
      <c r="B218" s="306" t="s">
        <v>544</v>
      </c>
      <c r="C218" s="319">
        <f>C219</f>
        <v>5000</v>
      </c>
      <c r="D218" s="90"/>
      <c r="E218" s="99"/>
      <c r="H218" s="80"/>
    </row>
    <row r="219" spans="1:8" ht="10.5" customHeight="1" x14ac:dyDescent="0.2">
      <c r="A219" s="91" t="s">
        <v>541</v>
      </c>
      <c r="B219" s="133" t="s">
        <v>512</v>
      </c>
      <c r="C219" s="318">
        <f>C220</f>
        <v>5000</v>
      </c>
      <c r="D219" s="90"/>
      <c r="E219" s="99"/>
      <c r="H219" s="80"/>
    </row>
    <row r="220" spans="1:8" ht="10.5" customHeight="1" x14ac:dyDescent="0.2">
      <c r="A220" s="91" t="s">
        <v>542</v>
      </c>
      <c r="B220" s="133" t="s">
        <v>568</v>
      </c>
      <c r="C220" s="318">
        <v>5000</v>
      </c>
      <c r="D220" s="90"/>
      <c r="E220" s="99"/>
      <c r="H220" s="80"/>
    </row>
    <row r="221" spans="1:8" ht="10.5" customHeight="1" x14ac:dyDescent="0.2">
      <c r="A221" s="91"/>
      <c r="B221" s="133" t="s">
        <v>511</v>
      </c>
      <c r="C221" s="318"/>
      <c r="D221" s="90"/>
      <c r="E221" s="99"/>
      <c r="H221" s="80"/>
    </row>
    <row r="222" spans="1:8" ht="31.5" customHeight="1" x14ac:dyDescent="0.2">
      <c r="A222" s="91"/>
      <c r="B222" s="294" t="s">
        <v>540</v>
      </c>
      <c r="C222" s="318"/>
      <c r="D222" s="299">
        <f>C224+C231</f>
        <v>25200</v>
      </c>
      <c r="E222" s="99"/>
      <c r="H222" s="80"/>
    </row>
    <row r="223" spans="1:8" ht="10.5" customHeight="1" x14ac:dyDescent="0.2">
      <c r="A223" s="91"/>
      <c r="B223" s="129"/>
      <c r="C223" s="318"/>
      <c r="D223" s="90"/>
      <c r="E223" s="99"/>
      <c r="H223" s="80"/>
    </row>
    <row r="224" spans="1:8" ht="10.5" customHeight="1" x14ac:dyDescent="0.2">
      <c r="A224" s="303" t="s">
        <v>131</v>
      </c>
      <c r="B224" s="304" t="s">
        <v>522</v>
      </c>
      <c r="C224" s="319">
        <f>C225+C228</f>
        <v>5200</v>
      </c>
      <c r="D224" s="90"/>
      <c r="E224" s="99"/>
      <c r="H224" s="80"/>
    </row>
    <row r="225" spans="1:8" ht="10.5" customHeight="1" x14ac:dyDescent="0.2">
      <c r="A225" s="88" t="s">
        <v>497</v>
      </c>
      <c r="B225" s="129" t="s">
        <v>63</v>
      </c>
      <c r="C225" s="323">
        <f>C226</f>
        <v>2200</v>
      </c>
      <c r="D225" s="90"/>
      <c r="E225" s="99"/>
      <c r="H225" s="80"/>
    </row>
    <row r="226" spans="1:8" ht="10.5" customHeight="1" x14ac:dyDescent="0.2">
      <c r="A226" s="91" t="s">
        <v>496</v>
      </c>
      <c r="B226" s="102" t="s">
        <v>127</v>
      </c>
      <c r="C226" s="321">
        <v>2200</v>
      </c>
      <c r="D226" s="90"/>
      <c r="E226" s="99"/>
      <c r="H226" s="80"/>
    </row>
    <row r="227" spans="1:8" ht="10.5" customHeight="1" x14ac:dyDescent="0.2">
      <c r="A227" s="91"/>
      <c r="B227" s="102"/>
      <c r="C227" s="318"/>
      <c r="D227" s="90"/>
      <c r="E227" s="99"/>
      <c r="H227" s="80"/>
    </row>
    <row r="228" spans="1:8" ht="10.5" customHeight="1" x14ac:dyDescent="0.2">
      <c r="A228" s="88" t="s">
        <v>135</v>
      </c>
      <c r="B228" s="129" t="s">
        <v>423</v>
      </c>
      <c r="C228" s="317">
        <v>3000</v>
      </c>
      <c r="D228" s="257"/>
      <c r="E228" s="99"/>
      <c r="H228" s="80"/>
    </row>
    <row r="229" spans="1:8" ht="12" customHeight="1" x14ac:dyDescent="0.2">
      <c r="A229" s="91" t="s">
        <v>422</v>
      </c>
      <c r="B229" s="102" t="s">
        <v>493</v>
      </c>
      <c r="C229" s="318">
        <v>3000</v>
      </c>
      <c r="D229" s="257"/>
      <c r="E229" s="99"/>
      <c r="H229" s="80"/>
    </row>
    <row r="230" spans="1:8" ht="12" customHeight="1" x14ac:dyDescent="0.2">
      <c r="A230" s="91"/>
      <c r="B230" s="102"/>
      <c r="C230" s="321"/>
      <c r="D230" s="257"/>
      <c r="E230" s="99"/>
      <c r="H230" s="80"/>
    </row>
    <row r="231" spans="1:8" ht="10.5" customHeight="1" x14ac:dyDescent="0.2">
      <c r="A231" s="303" t="s">
        <v>501</v>
      </c>
      <c r="B231" s="304" t="s">
        <v>523</v>
      </c>
      <c r="C231" s="324">
        <f>C232</f>
        <v>20000</v>
      </c>
      <c r="D231" s="257"/>
      <c r="E231" s="99"/>
      <c r="H231" s="80"/>
    </row>
    <row r="232" spans="1:8" ht="10.5" customHeight="1" x14ac:dyDescent="0.2">
      <c r="A232" s="88" t="s">
        <v>502</v>
      </c>
      <c r="B232" s="178" t="s">
        <v>512</v>
      </c>
      <c r="C232" s="325">
        <v>20000</v>
      </c>
      <c r="D232" s="257"/>
      <c r="E232" s="99"/>
      <c r="H232" s="80"/>
    </row>
    <row r="233" spans="1:8" x14ac:dyDescent="0.2">
      <c r="A233" s="91" t="s">
        <v>532</v>
      </c>
      <c r="B233" s="102" t="s">
        <v>508</v>
      </c>
      <c r="C233" s="321">
        <v>20000</v>
      </c>
      <c r="D233" s="257"/>
      <c r="E233" s="99"/>
      <c r="H233" s="80"/>
    </row>
    <row r="234" spans="1:8" x14ac:dyDescent="0.2">
      <c r="A234" s="91"/>
      <c r="B234" s="102"/>
      <c r="C234" s="318"/>
      <c r="D234" s="90"/>
      <c r="E234" s="99"/>
      <c r="H234" s="80"/>
    </row>
    <row r="235" spans="1:8" x14ac:dyDescent="0.2">
      <c r="A235" s="276" t="s">
        <v>392</v>
      </c>
      <c r="B235" s="277" t="s">
        <v>398</v>
      </c>
      <c r="C235" s="318"/>
      <c r="D235" s="90"/>
      <c r="E235" s="99"/>
      <c r="H235" s="80"/>
    </row>
    <row r="236" spans="1:8" x14ac:dyDescent="0.2">
      <c r="A236" s="276"/>
      <c r="B236" s="277"/>
      <c r="C236" s="318"/>
      <c r="D236" s="90"/>
      <c r="E236" s="99"/>
      <c r="H236" s="80"/>
    </row>
    <row r="237" spans="1:8" x14ac:dyDescent="0.2">
      <c r="A237" s="280"/>
      <c r="B237" s="294" t="s">
        <v>556</v>
      </c>
      <c r="C237" s="318"/>
      <c r="D237" s="299">
        <f>C238+C242</f>
        <v>0</v>
      </c>
      <c r="E237" s="99"/>
      <c r="H237" s="80"/>
    </row>
    <row r="238" spans="1:8" x14ac:dyDescent="0.2">
      <c r="A238" s="308" t="s">
        <v>119</v>
      </c>
      <c r="B238" s="309" t="s">
        <v>524</v>
      </c>
      <c r="C238" s="319">
        <f>C239</f>
        <v>0</v>
      </c>
      <c r="D238" s="90"/>
      <c r="E238" s="99"/>
      <c r="H238" s="80"/>
    </row>
    <row r="239" spans="1:8" x14ac:dyDescent="0.2">
      <c r="A239" s="88" t="s">
        <v>125</v>
      </c>
      <c r="B239" s="129" t="s">
        <v>366</v>
      </c>
      <c r="C239" s="317">
        <f>C240</f>
        <v>0</v>
      </c>
      <c r="D239" s="90"/>
      <c r="E239" s="99"/>
      <c r="H239" s="80"/>
    </row>
    <row r="240" spans="1:8" x14ac:dyDescent="0.2">
      <c r="A240" s="91" t="s">
        <v>557</v>
      </c>
      <c r="B240" s="102" t="s">
        <v>367</v>
      </c>
      <c r="C240" s="318">
        <v>0</v>
      </c>
      <c r="D240" s="90"/>
      <c r="E240" s="99"/>
      <c r="H240" s="80"/>
    </row>
    <row r="241" spans="1:8" x14ac:dyDescent="0.2">
      <c r="A241" s="91"/>
      <c r="B241" s="102"/>
      <c r="C241" s="318"/>
      <c r="D241" s="90"/>
      <c r="E241" s="99"/>
      <c r="H241" s="80"/>
    </row>
    <row r="242" spans="1:8" x14ac:dyDescent="0.2">
      <c r="A242" s="303" t="s">
        <v>131</v>
      </c>
      <c r="B242" s="304" t="s">
        <v>525</v>
      </c>
      <c r="C242" s="319">
        <f>C243</f>
        <v>0</v>
      </c>
      <c r="D242" s="90"/>
      <c r="E242" s="99"/>
      <c r="H242" s="80"/>
    </row>
    <row r="243" spans="1:8" x14ac:dyDescent="0.2">
      <c r="A243" s="88" t="s">
        <v>137</v>
      </c>
      <c r="B243" s="137" t="s">
        <v>375</v>
      </c>
      <c r="C243" s="317">
        <f>SUM(C244)</f>
        <v>0</v>
      </c>
      <c r="D243" s="90"/>
      <c r="E243" s="99"/>
      <c r="H243" s="80"/>
    </row>
    <row r="244" spans="1:8" x14ac:dyDescent="0.2">
      <c r="A244" s="91" t="s">
        <v>401</v>
      </c>
      <c r="B244" s="133" t="s">
        <v>573</v>
      </c>
      <c r="C244" s="318">
        <v>0</v>
      </c>
      <c r="D244" s="90"/>
      <c r="E244" s="99"/>
      <c r="H244" s="80"/>
    </row>
    <row r="245" spans="1:8" x14ac:dyDescent="0.2">
      <c r="A245" s="276"/>
      <c r="B245" s="277"/>
      <c r="C245" s="318"/>
      <c r="D245" s="90"/>
      <c r="E245" s="99"/>
      <c r="H245" s="80"/>
    </row>
    <row r="246" spans="1:8" ht="22.5" x14ac:dyDescent="0.2">
      <c r="A246" s="91"/>
      <c r="B246" s="294" t="s">
        <v>550</v>
      </c>
      <c r="C246" s="318"/>
      <c r="D246" s="299">
        <f>C248</f>
        <v>4709.8899999999994</v>
      </c>
      <c r="E246" s="99"/>
      <c r="H246" s="80"/>
    </row>
    <row r="247" spans="1:8" x14ac:dyDescent="0.2">
      <c r="A247" s="91"/>
      <c r="B247" s="133"/>
      <c r="C247" s="318"/>
      <c r="D247" s="90"/>
      <c r="E247" s="99"/>
      <c r="H247" s="80"/>
    </row>
    <row r="248" spans="1:8" x14ac:dyDescent="0.2">
      <c r="A248" s="303" t="s">
        <v>501</v>
      </c>
      <c r="B248" s="306" t="s">
        <v>549</v>
      </c>
      <c r="C248" s="343">
        <f>C250+C251</f>
        <v>4709.8899999999994</v>
      </c>
      <c r="D248" s="280"/>
      <c r="E248" s="99"/>
      <c r="H248" s="80"/>
    </row>
    <row r="249" spans="1:8" x14ac:dyDescent="0.2">
      <c r="A249" s="88" t="s">
        <v>541</v>
      </c>
      <c r="B249" s="134" t="s">
        <v>512</v>
      </c>
      <c r="C249" s="90"/>
      <c r="D249" s="280"/>
      <c r="E249" s="99"/>
      <c r="H249" s="80"/>
    </row>
    <row r="250" spans="1:8" x14ac:dyDescent="0.2">
      <c r="A250" s="91" t="s">
        <v>543</v>
      </c>
      <c r="B250" s="133" t="s">
        <v>575</v>
      </c>
      <c r="C250" s="90">
        <v>3509.89</v>
      </c>
      <c r="D250" s="280"/>
      <c r="E250" s="99"/>
      <c r="H250" s="80"/>
    </row>
    <row r="251" spans="1:8" ht="22.5" x14ac:dyDescent="0.2">
      <c r="A251" s="91" t="s">
        <v>542</v>
      </c>
      <c r="B251" s="133" t="s">
        <v>574</v>
      </c>
      <c r="C251" s="90">
        <v>1200</v>
      </c>
      <c r="D251" s="280"/>
      <c r="E251" s="99"/>
      <c r="H251" s="80"/>
    </row>
    <row r="252" spans="1:8" x14ac:dyDescent="0.2">
      <c r="A252" s="91"/>
      <c r="B252" s="351"/>
      <c r="C252" s="83"/>
      <c r="D252" s="280"/>
      <c r="E252" s="99"/>
      <c r="H252" s="80"/>
    </row>
    <row r="253" spans="1:8" x14ac:dyDescent="0.2">
      <c r="A253" s="91"/>
      <c r="B253" s="351"/>
      <c r="C253" s="83"/>
      <c r="D253" s="280"/>
      <c r="E253" s="99"/>
      <c r="H253" s="80"/>
    </row>
    <row r="254" spans="1:8" x14ac:dyDescent="0.2">
      <c r="A254" s="280"/>
      <c r="B254" s="294" t="s">
        <v>553</v>
      </c>
      <c r="C254" s="318"/>
      <c r="D254" s="299">
        <f>C255+C259</f>
        <v>0</v>
      </c>
      <c r="E254" s="99"/>
      <c r="H254" s="80"/>
    </row>
    <row r="255" spans="1:8" x14ac:dyDescent="0.2">
      <c r="A255" s="308" t="s">
        <v>119</v>
      </c>
      <c r="B255" s="309" t="s">
        <v>524</v>
      </c>
      <c r="C255" s="319">
        <f>C256</f>
        <v>0</v>
      </c>
      <c r="D255" s="90"/>
      <c r="E255" s="80"/>
      <c r="H255" s="80"/>
    </row>
    <row r="256" spans="1:8" x14ac:dyDescent="0.2">
      <c r="A256" s="88" t="s">
        <v>125</v>
      </c>
      <c r="B256" s="129" t="s">
        <v>366</v>
      </c>
      <c r="C256" s="317">
        <f>C257</f>
        <v>0</v>
      </c>
      <c r="D256" s="90"/>
      <c r="E256" s="80"/>
      <c r="H256" s="80"/>
    </row>
    <row r="257" spans="1:8" x14ac:dyDescent="0.2">
      <c r="A257" s="91" t="s">
        <v>555</v>
      </c>
      <c r="B257" s="102" t="s">
        <v>367</v>
      </c>
      <c r="C257" s="318">
        <v>0</v>
      </c>
      <c r="D257" s="90"/>
      <c r="E257" s="80"/>
      <c r="H257" s="80"/>
    </row>
    <row r="258" spans="1:8" x14ac:dyDescent="0.2">
      <c r="A258" s="91"/>
      <c r="B258" s="102"/>
      <c r="C258" s="318"/>
      <c r="D258" s="90"/>
      <c r="E258" s="80"/>
      <c r="H258" s="80"/>
    </row>
    <row r="259" spans="1:8" x14ac:dyDescent="0.2">
      <c r="A259" s="303" t="s">
        <v>131</v>
      </c>
      <c r="B259" s="304" t="s">
        <v>525</v>
      </c>
      <c r="C259" s="319">
        <f>C260+C263</f>
        <v>0</v>
      </c>
      <c r="D259" s="90"/>
      <c r="E259" s="80"/>
      <c r="H259" s="80"/>
    </row>
    <row r="260" spans="1:8" ht="22.5" x14ac:dyDescent="0.2">
      <c r="A260" s="88" t="s">
        <v>135</v>
      </c>
      <c r="B260" s="129" t="s">
        <v>423</v>
      </c>
      <c r="C260" s="317">
        <f>C261</f>
        <v>0</v>
      </c>
      <c r="D260" s="90"/>
      <c r="E260" s="80"/>
      <c r="H260" s="80"/>
    </row>
    <row r="261" spans="1:8" x14ac:dyDescent="0.2">
      <c r="A261" s="91" t="s">
        <v>422</v>
      </c>
      <c r="B261" s="102" t="s">
        <v>493</v>
      </c>
      <c r="C261" s="318">
        <v>0</v>
      </c>
      <c r="D261" s="90"/>
      <c r="E261" s="80"/>
      <c r="H261" s="80"/>
    </row>
    <row r="262" spans="1:8" x14ac:dyDescent="0.2">
      <c r="A262" s="91"/>
      <c r="B262" s="102"/>
      <c r="C262" s="318"/>
      <c r="D262" s="90"/>
      <c r="E262" s="80"/>
      <c r="H262" s="80"/>
    </row>
    <row r="263" spans="1:8" x14ac:dyDescent="0.2">
      <c r="A263" s="88" t="s">
        <v>137</v>
      </c>
      <c r="B263" s="137" t="s">
        <v>375</v>
      </c>
      <c r="C263" s="317">
        <f>SUM(C264)</f>
        <v>0</v>
      </c>
      <c r="D263" s="90"/>
      <c r="E263" s="80"/>
      <c r="H263" s="80"/>
    </row>
    <row r="264" spans="1:8" x14ac:dyDescent="0.2">
      <c r="A264" s="91" t="s">
        <v>401</v>
      </c>
      <c r="B264" s="133" t="s">
        <v>554</v>
      </c>
      <c r="C264" s="318">
        <v>0</v>
      </c>
      <c r="D264" s="90"/>
      <c r="E264" s="80"/>
      <c r="H264" s="80"/>
    </row>
    <row r="265" spans="1:8" x14ac:dyDescent="0.2">
      <c r="A265" s="91"/>
      <c r="B265" s="133"/>
      <c r="C265" s="318"/>
      <c r="D265" s="90"/>
      <c r="E265" s="80"/>
      <c r="H265" s="80"/>
    </row>
    <row r="266" spans="1:8" ht="33.75" x14ac:dyDescent="0.2">
      <c r="A266" s="91"/>
      <c r="B266" s="295" t="s">
        <v>546</v>
      </c>
      <c r="C266" s="318"/>
      <c r="D266" s="299">
        <f>C268</f>
        <v>29637.93</v>
      </c>
      <c r="E266" s="80"/>
      <c r="H266" s="80"/>
    </row>
    <row r="267" spans="1:8" x14ac:dyDescent="0.2">
      <c r="A267" s="91"/>
      <c r="B267" s="133"/>
      <c r="C267" s="318"/>
      <c r="D267" s="90"/>
      <c r="E267" s="80"/>
      <c r="H267" s="80"/>
    </row>
    <row r="268" spans="1:8" x14ac:dyDescent="0.2">
      <c r="A268" s="303" t="s">
        <v>501</v>
      </c>
      <c r="B268" s="306" t="s">
        <v>544</v>
      </c>
      <c r="C268" s="319">
        <f>C269</f>
        <v>29637.93</v>
      </c>
      <c r="D268" s="90"/>
      <c r="E268" s="80"/>
      <c r="H268" s="80"/>
    </row>
    <row r="269" spans="1:8" x14ac:dyDescent="0.2">
      <c r="A269" s="91" t="s">
        <v>541</v>
      </c>
      <c r="B269" s="133" t="s">
        <v>512</v>
      </c>
      <c r="C269" s="318">
        <f>C270</f>
        <v>29637.93</v>
      </c>
      <c r="D269" s="90"/>
      <c r="E269" s="80"/>
      <c r="H269" s="80"/>
    </row>
    <row r="270" spans="1:8" ht="22.5" x14ac:dyDescent="0.2">
      <c r="A270" s="91" t="s">
        <v>543</v>
      </c>
      <c r="B270" s="133" t="s">
        <v>576</v>
      </c>
      <c r="C270" s="318">
        <v>29637.93</v>
      </c>
      <c r="D270" s="90"/>
      <c r="E270" s="80"/>
      <c r="H270" s="80"/>
    </row>
    <row r="271" spans="1:8" x14ac:dyDescent="0.2">
      <c r="A271" s="91"/>
      <c r="B271" s="133"/>
      <c r="C271" s="318"/>
      <c r="D271" s="90"/>
      <c r="E271" s="80"/>
      <c r="H271" s="80"/>
    </row>
    <row r="272" spans="1:8" ht="26.25" customHeight="1" x14ac:dyDescent="0.2">
      <c r="A272" s="91"/>
      <c r="B272" s="295" t="s">
        <v>505</v>
      </c>
      <c r="C272" s="318"/>
      <c r="D272" s="299">
        <f>C274</f>
        <v>800</v>
      </c>
      <c r="E272" s="99"/>
      <c r="H272" s="80"/>
    </row>
    <row r="273" spans="1:8" x14ac:dyDescent="0.2">
      <c r="A273" s="305">
        <v>8.4</v>
      </c>
      <c r="B273" s="306" t="s">
        <v>475</v>
      </c>
      <c r="C273" s="318"/>
      <c r="D273" s="291"/>
      <c r="E273" s="99"/>
      <c r="H273" s="80"/>
    </row>
    <row r="274" spans="1:8" x14ac:dyDescent="0.2">
      <c r="A274" s="95" t="s">
        <v>473</v>
      </c>
      <c r="B274" s="133" t="s">
        <v>476</v>
      </c>
      <c r="C274" s="319">
        <v>800</v>
      </c>
      <c r="D274" s="97"/>
      <c r="E274" s="99"/>
      <c r="H274" s="80"/>
    </row>
    <row r="275" spans="1:8" x14ac:dyDescent="0.2">
      <c r="A275" s="95" t="s">
        <v>474</v>
      </c>
      <c r="B275" s="133" t="s">
        <v>472</v>
      </c>
      <c r="C275" s="318">
        <v>800</v>
      </c>
      <c r="D275" s="97"/>
      <c r="E275" s="99"/>
      <c r="H275" s="80"/>
    </row>
    <row r="276" spans="1:8" x14ac:dyDescent="0.2">
      <c r="A276" s="91"/>
      <c r="B276" s="133"/>
      <c r="C276" s="318"/>
      <c r="D276" s="90"/>
      <c r="E276" s="99"/>
      <c r="H276" s="80"/>
    </row>
    <row r="277" spans="1:8" x14ac:dyDescent="0.2">
      <c r="A277" s="91"/>
      <c r="B277" s="300" t="s">
        <v>499</v>
      </c>
      <c r="C277" s="318"/>
      <c r="D277" s="299">
        <f>C279+C282</f>
        <v>3283.96</v>
      </c>
      <c r="E277" s="99"/>
      <c r="H277" s="80"/>
    </row>
    <row r="278" spans="1:8" x14ac:dyDescent="0.2">
      <c r="A278" s="308" t="s">
        <v>119</v>
      </c>
      <c r="B278" s="309" t="s">
        <v>524</v>
      </c>
      <c r="C278" s="319">
        <f>C279+C282</f>
        <v>3283.96</v>
      </c>
      <c r="D278" s="90"/>
      <c r="E278" s="99"/>
      <c r="H278" s="80"/>
    </row>
    <row r="279" spans="1:8" x14ac:dyDescent="0.2">
      <c r="A279" s="88" t="s">
        <v>125</v>
      </c>
      <c r="B279" s="129" t="s">
        <v>366</v>
      </c>
      <c r="C279" s="317">
        <f>C280</f>
        <v>814.91</v>
      </c>
      <c r="D279" s="90"/>
      <c r="E279" s="99"/>
      <c r="H279" s="80"/>
    </row>
    <row r="280" spans="1:8" x14ac:dyDescent="0.2">
      <c r="A280" s="91" t="s">
        <v>452</v>
      </c>
      <c r="B280" s="102" t="s">
        <v>367</v>
      </c>
      <c r="C280" s="318">
        <v>814.91</v>
      </c>
      <c r="D280" s="90"/>
      <c r="E280" s="99"/>
      <c r="H280" s="80"/>
    </row>
    <row r="281" spans="1:8" x14ac:dyDescent="0.2">
      <c r="A281" s="91"/>
      <c r="B281" s="102"/>
      <c r="C281" s="318"/>
      <c r="D281" s="90"/>
      <c r="E281" s="99"/>
      <c r="H281" s="80"/>
    </row>
    <row r="282" spans="1:8" x14ac:dyDescent="0.2">
      <c r="A282" s="303" t="s">
        <v>131</v>
      </c>
      <c r="B282" s="304" t="s">
        <v>525</v>
      </c>
      <c r="C282" s="317">
        <f>C283</f>
        <v>2469.0500000000002</v>
      </c>
      <c r="D282" s="90"/>
      <c r="E282" s="99"/>
      <c r="H282" s="80"/>
    </row>
    <row r="283" spans="1:8" x14ac:dyDescent="0.2">
      <c r="A283" s="88" t="s">
        <v>137</v>
      </c>
      <c r="B283" s="137" t="s">
        <v>375</v>
      </c>
      <c r="C283" s="317">
        <f>C284</f>
        <v>2469.0500000000002</v>
      </c>
      <c r="D283" s="90"/>
      <c r="E283" s="99"/>
      <c r="H283" s="80"/>
    </row>
    <row r="284" spans="1:8" x14ac:dyDescent="0.2">
      <c r="A284" s="91" t="s">
        <v>401</v>
      </c>
      <c r="B284" s="133" t="s">
        <v>500</v>
      </c>
      <c r="C284" s="313">
        <v>2469.0500000000002</v>
      </c>
      <c r="D284" s="90"/>
      <c r="E284" s="99"/>
      <c r="H284" s="80"/>
    </row>
    <row r="285" spans="1:8" x14ac:dyDescent="0.2">
      <c r="A285" s="91"/>
      <c r="B285" s="133"/>
      <c r="C285" s="318"/>
      <c r="D285" s="90"/>
      <c r="E285" s="99"/>
      <c r="H285" s="80"/>
    </row>
    <row r="286" spans="1:8" x14ac:dyDescent="0.2">
      <c r="E286" s="99"/>
      <c r="H286" s="80"/>
    </row>
    <row r="287" spans="1:8" x14ac:dyDescent="0.2">
      <c r="A287" s="98" t="s">
        <v>418</v>
      </c>
      <c r="B287" s="98" t="s">
        <v>419</v>
      </c>
      <c r="C287" s="312"/>
      <c r="E287" s="99"/>
      <c r="H287" s="80"/>
    </row>
    <row r="288" spans="1:8" x14ac:dyDescent="0.2">
      <c r="A288" s="98" t="s">
        <v>139</v>
      </c>
      <c r="B288" s="98" t="s">
        <v>399</v>
      </c>
      <c r="C288" s="312"/>
      <c r="E288" s="99"/>
      <c r="H288" s="80"/>
    </row>
    <row r="289" spans="1:8" ht="22.5" customHeight="1" x14ac:dyDescent="0.2">
      <c r="A289" s="280"/>
      <c r="B289" s="294" t="s">
        <v>400</v>
      </c>
      <c r="C289" s="318"/>
      <c r="D289" s="299">
        <f>C291+C295+C298</f>
        <v>30000</v>
      </c>
      <c r="E289" s="99"/>
      <c r="H289" s="80"/>
    </row>
    <row r="290" spans="1:8" x14ac:dyDescent="0.2">
      <c r="A290" s="308" t="s">
        <v>119</v>
      </c>
      <c r="B290" s="309" t="s">
        <v>524</v>
      </c>
      <c r="C290" s="319">
        <f>C291</f>
        <v>5400</v>
      </c>
      <c r="D290" s="90"/>
      <c r="E290" s="99"/>
      <c r="H290" s="80"/>
    </row>
    <row r="291" spans="1:8" x14ac:dyDescent="0.2">
      <c r="A291" s="88" t="s">
        <v>125</v>
      </c>
      <c r="B291" s="129" t="s">
        <v>366</v>
      </c>
      <c r="C291" s="317">
        <f>C292</f>
        <v>5400</v>
      </c>
      <c r="D291" s="90"/>
      <c r="E291" s="99"/>
      <c r="H291" s="80"/>
    </row>
    <row r="292" spans="1:8" x14ac:dyDescent="0.2">
      <c r="A292" s="91" t="s">
        <v>453</v>
      </c>
      <c r="B292" s="102" t="s">
        <v>367</v>
      </c>
      <c r="C292" s="318">
        <f>+(8*15)*45</f>
        <v>5400</v>
      </c>
      <c r="D292" s="90"/>
      <c r="E292" s="99"/>
      <c r="H292" s="80"/>
    </row>
    <row r="293" spans="1:8" x14ac:dyDescent="0.2">
      <c r="A293" s="91"/>
      <c r="B293" s="102"/>
      <c r="C293" s="318"/>
      <c r="D293" s="90"/>
      <c r="E293" s="99"/>
      <c r="H293" s="80"/>
    </row>
    <row r="294" spans="1:8" x14ac:dyDescent="0.2">
      <c r="A294" s="303" t="s">
        <v>131</v>
      </c>
      <c r="B294" s="304" t="s">
        <v>525</v>
      </c>
      <c r="C294" s="319">
        <f>C295+C298</f>
        <v>24600</v>
      </c>
      <c r="D294" s="90"/>
      <c r="E294" s="99"/>
      <c r="H294" s="80"/>
    </row>
    <row r="295" spans="1:8" x14ac:dyDescent="0.2">
      <c r="A295" s="88" t="s">
        <v>134</v>
      </c>
      <c r="B295" s="129" t="s">
        <v>362</v>
      </c>
      <c r="C295" s="317">
        <f>SUM(C296)</f>
        <v>6000</v>
      </c>
      <c r="D295" s="90"/>
      <c r="E295" s="99"/>
      <c r="H295" s="80"/>
    </row>
    <row r="296" spans="1:8" x14ac:dyDescent="0.2">
      <c r="A296" s="91" t="s">
        <v>402</v>
      </c>
      <c r="B296" s="289" t="s">
        <v>577</v>
      </c>
      <c r="C296" s="318">
        <v>6000</v>
      </c>
      <c r="D296" s="90"/>
      <c r="E296" s="99"/>
      <c r="H296" s="80"/>
    </row>
    <row r="297" spans="1:8" x14ac:dyDescent="0.2">
      <c r="A297" s="91"/>
      <c r="B297" s="273"/>
      <c r="C297" s="318"/>
      <c r="D297" s="90"/>
      <c r="E297" s="99"/>
      <c r="H297" s="80"/>
    </row>
    <row r="298" spans="1:8" x14ac:dyDescent="0.2">
      <c r="A298" s="88" t="s">
        <v>137</v>
      </c>
      <c r="B298" s="137" t="s">
        <v>375</v>
      </c>
      <c r="C298" s="317">
        <f>SUM(C299)</f>
        <v>18600</v>
      </c>
      <c r="D298" s="90"/>
      <c r="E298" s="99"/>
      <c r="H298" s="80"/>
    </row>
    <row r="299" spans="1:8" x14ac:dyDescent="0.2">
      <c r="A299" s="91" t="s">
        <v>401</v>
      </c>
      <c r="B299" s="133" t="s">
        <v>578</v>
      </c>
      <c r="C299" s="318">
        <v>18600</v>
      </c>
      <c r="D299" s="90"/>
      <c r="E299" s="99"/>
      <c r="H299" s="80"/>
    </row>
    <row r="300" spans="1:8" x14ac:dyDescent="0.2">
      <c r="A300" s="80"/>
      <c r="B300" s="80"/>
      <c r="C300" s="312"/>
      <c r="E300" s="99"/>
      <c r="H300" s="80"/>
    </row>
    <row r="301" spans="1:8" x14ac:dyDescent="0.2">
      <c r="A301" s="98" t="s">
        <v>139</v>
      </c>
      <c r="B301" s="98" t="s">
        <v>429</v>
      </c>
      <c r="C301" s="312"/>
      <c r="E301" s="99"/>
      <c r="H301" s="80"/>
    </row>
    <row r="302" spans="1:8" ht="22.5" x14ac:dyDescent="0.2">
      <c r="A302" s="98"/>
      <c r="B302" s="294" t="s">
        <v>430</v>
      </c>
      <c r="C302" s="318"/>
      <c r="D302" s="299">
        <f>C304+C315</f>
        <v>54339.5</v>
      </c>
      <c r="E302" s="99"/>
      <c r="H302" s="80"/>
    </row>
    <row r="303" spans="1:8" x14ac:dyDescent="0.2">
      <c r="A303" s="98"/>
      <c r="B303" s="281"/>
      <c r="C303" s="318"/>
      <c r="D303" s="90"/>
      <c r="E303" s="99"/>
      <c r="H303" s="80"/>
    </row>
    <row r="304" spans="1:8" x14ac:dyDescent="0.2">
      <c r="A304" s="303" t="s">
        <v>119</v>
      </c>
      <c r="B304" s="309" t="s">
        <v>524</v>
      </c>
      <c r="C304" s="319">
        <f>C305+C308+C312</f>
        <v>15436.359999999999</v>
      </c>
      <c r="D304" s="90"/>
      <c r="E304" s="99"/>
      <c r="H304" s="80"/>
    </row>
    <row r="305" spans="1:8" x14ac:dyDescent="0.2">
      <c r="A305" s="88" t="s">
        <v>120</v>
      </c>
      <c r="B305" s="129" t="s">
        <v>53</v>
      </c>
      <c r="C305" s="317">
        <f>+C306</f>
        <v>11946</v>
      </c>
      <c r="D305" s="90"/>
      <c r="E305" s="99"/>
      <c r="H305" s="80"/>
    </row>
    <row r="306" spans="1:8" x14ac:dyDescent="0.2">
      <c r="A306" s="91" t="s">
        <v>121</v>
      </c>
      <c r="B306" s="102" t="s">
        <v>55</v>
      </c>
      <c r="C306" s="318">
        <v>11946</v>
      </c>
      <c r="D306" s="90"/>
      <c r="E306" s="99"/>
      <c r="H306" s="80"/>
    </row>
    <row r="307" spans="1:8" x14ac:dyDescent="0.2">
      <c r="A307" s="88"/>
      <c r="B307" s="102"/>
      <c r="C307" s="318"/>
      <c r="D307" s="90"/>
      <c r="E307" s="99"/>
      <c r="H307" s="80"/>
    </row>
    <row r="308" spans="1:8" x14ac:dyDescent="0.2">
      <c r="A308" s="92" t="s">
        <v>122</v>
      </c>
      <c r="B308" s="130" t="s">
        <v>57</v>
      </c>
      <c r="C308" s="317">
        <f>SUM(C309:C310)</f>
        <v>2037.3000000000002</v>
      </c>
      <c r="D308" s="90"/>
      <c r="E308" s="99"/>
      <c r="H308" s="80"/>
    </row>
    <row r="309" spans="1:8" x14ac:dyDescent="0.2">
      <c r="A309" s="93" t="s">
        <v>123</v>
      </c>
      <c r="B309" s="131" t="s">
        <v>59</v>
      </c>
      <c r="C309" s="318">
        <v>1384.65</v>
      </c>
      <c r="D309" s="90"/>
      <c r="E309" s="99"/>
      <c r="H309" s="80"/>
    </row>
    <row r="310" spans="1:8" x14ac:dyDescent="0.2">
      <c r="A310" s="93" t="s">
        <v>124</v>
      </c>
      <c r="B310" s="131" t="s">
        <v>61</v>
      </c>
      <c r="C310" s="318">
        <v>652.65</v>
      </c>
      <c r="D310" s="90"/>
      <c r="E310" s="99"/>
      <c r="H310" s="80"/>
    </row>
    <row r="311" spans="1:8" x14ac:dyDescent="0.2">
      <c r="A311" s="93"/>
      <c r="B311" s="131"/>
      <c r="C311" s="318"/>
      <c r="D311" s="90"/>
      <c r="E311" s="99"/>
      <c r="H311" s="80"/>
    </row>
    <row r="312" spans="1:8" x14ac:dyDescent="0.2">
      <c r="A312" s="88" t="s">
        <v>128</v>
      </c>
      <c r="B312" s="129" t="s">
        <v>71</v>
      </c>
      <c r="C312" s="317">
        <f>C313</f>
        <v>1453.06</v>
      </c>
      <c r="D312" s="90"/>
      <c r="E312" s="99"/>
      <c r="H312" s="80"/>
    </row>
    <row r="313" spans="1:8" x14ac:dyDescent="0.2">
      <c r="A313" s="95" t="s">
        <v>129</v>
      </c>
      <c r="B313" s="133" t="s">
        <v>73</v>
      </c>
      <c r="C313" s="318">
        <v>1453.06</v>
      </c>
      <c r="D313" s="90"/>
      <c r="E313" s="99"/>
      <c r="H313" s="80"/>
    </row>
    <row r="314" spans="1:8" x14ac:dyDescent="0.2">
      <c r="A314" s="282"/>
      <c r="B314" s="283"/>
      <c r="C314" s="318"/>
      <c r="D314" s="90"/>
      <c r="E314" s="99"/>
      <c r="H314" s="80"/>
    </row>
    <row r="315" spans="1:8" ht="13.5" x14ac:dyDescent="0.35">
      <c r="A315" s="308" t="s">
        <v>131</v>
      </c>
      <c r="B315" s="309" t="s">
        <v>526</v>
      </c>
      <c r="C315" s="326">
        <f>C316+C319+C323</f>
        <v>38903.14</v>
      </c>
      <c r="D315" s="90"/>
      <c r="E315" s="99"/>
      <c r="H315" s="80"/>
    </row>
    <row r="316" spans="1:8" x14ac:dyDescent="0.2">
      <c r="A316" s="278" t="s">
        <v>137</v>
      </c>
      <c r="B316" s="279" t="s">
        <v>465</v>
      </c>
      <c r="C316" s="327">
        <f>C317</f>
        <v>1450</v>
      </c>
      <c r="D316" s="90"/>
      <c r="E316" s="99"/>
      <c r="G316" s="330" t="s">
        <v>511</v>
      </c>
      <c r="H316" s="80"/>
    </row>
    <row r="317" spans="1:8" x14ac:dyDescent="0.2">
      <c r="A317" s="282" t="s">
        <v>584</v>
      </c>
      <c r="B317" s="283" t="s">
        <v>466</v>
      </c>
      <c r="C317" s="328">
        <v>1450</v>
      </c>
      <c r="D317" s="90"/>
      <c r="E317" s="99"/>
      <c r="H317" s="80"/>
    </row>
    <row r="318" spans="1:8" x14ac:dyDescent="0.2">
      <c r="A318" s="282"/>
      <c r="B318" s="283"/>
      <c r="C318" s="328"/>
      <c r="D318" s="90"/>
      <c r="E318" s="99"/>
    </row>
    <row r="319" spans="1:8" x14ac:dyDescent="0.2">
      <c r="A319" s="279" t="s">
        <v>587</v>
      </c>
      <c r="B319" s="279" t="s">
        <v>463</v>
      </c>
      <c r="C319" s="327">
        <f>C320+C321</f>
        <v>18661.82</v>
      </c>
      <c r="D319" s="90"/>
      <c r="E319" s="99"/>
    </row>
    <row r="320" spans="1:8" x14ac:dyDescent="0.2">
      <c r="A320" s="282" t="s">
        <v>585</v>
      </c>
      <c r="B320" s="283" t="s">
        <v>462</v>
      </c>
      <c r="C320" s="328">
        <v>12934.32</v>
      </c>
      <c r="D320" s="90"/>
      <c r="E320" s="99"/>
    </row>
    <row r="321" spans="1:8" x14ac:dyDescent="0.2">
      <c r="A321" s="282" t="s">
        <v>586</v>
      </c>
      <c r="B321" s="283" t="s">
        <v>464</v>
      </c>
      <c r="C321" s="328">
        <v>5727.5</v>
      </c>
      <c r="D321" s="90"/>
      <c r="E321" s="99"/>
    </row>
    <row r="322" spans="1:8" x14ac:dyDescent="0.2">
      <c r="A322" s="282"/>
      <c r="B322" s="283"/>
      <c r="C322" s="328"/>
      <c r="D322" s="90"/>
      <c r="E322" s="99"/>
      <c r="H322" s="80"/>
    </row>
    <row r="323" spans="1:8" x14ac:dyDescent="0.2">
      <c r="A323" s="88" t="s">
        <v>467</v>
      </c>
      <c r="B323" s="137" t="s">
        <v>348</v>
      </c>
      <c r="C323" s="317">
        <f>C324+C325</f>
        <v>18791.32</v>
      </c>
      <c r="D323" s="90"/>
      <c r="E323" s="99"/>
      <c r="H323" s="80"/>
    </row>
    <row r="324" spans="1:8" x14ac:dyDescent="0.2">
      <c r="A324" s="91" t="s">
        <v>468</v>
      </c>
      <c r="B324" s="138" t="s">
        <v>469</v>
      </c>
      <c r="C324" s="318">
        <v>14000</v>
      </c>
      <c r="D324" s="90"/>
      <c r="E324" s="99"/>
      <c r="H324" s="80"/>
    </row>
    <row r="325" spans="1:8" x14ac:dyDescent="0.2">
      <c r="A325" s="91" t="s">
        <v>486</v>
      </c>
      <c r="B325" s="138" t="s">
        <v>487</v>
      </c>
      <c r="C325" s="318">
        <v>4791.32</v>
      </c>
      <c r="D325" s="90"/>
      <c r="E325" s="99"/>
      <c r="H325" s="80"/>
    </row>
    <row r="326" spans="1:8" x14ac:dyDescent="0.2">
      <c r="E326" s="99"/>
      <c r="H326" s="80"/>
    </row>
    <row r="327" spans="1:8" x14ac:dyDescent="0.2">
      <c r="E327" s="99"/>
      <c r="H327" s="80"/>
    </row>
    <row r="328" spans="1:8" ht="22.5" x14ac:dyDescent="0.2">
      <c r="A328" s="280"/>
      <c r="B328" s="294" t="s">
        <v>548</v>
      </c>
      <c r="C328" s="318"/>
      <c r="D328" s="299">
        <v>1270</v>
      </c>
      <c r="E328" s="99"/>
      <c r="H328" s="80"/>
    </row>
    <row r="329" spans="1:8" x14ac:dyDescent="0.2">
      <c r="A329" s="280"/>
      <c r="B329" s="129"/>
      <c r="C329" s="318"/>
      <c r="D329" s="90"/>
      <c r="E329" s="99"/>
      <c r="H329" s="80"/>
    </row>
    <row r="330" spans="1:8" x14ac:dyDescent="0.2">
      <c r="A330" s="303" t="s">
        <v>119</v>
      </c>
      <c r="B330" s="309" t="s">
        <v>524</v>
      </c>
      <c r="C330" s="319">
        <v>1270</v>
      </c>
      <c r="D330" s="90"/>
      <c r="E330" s="99"/>
      <c r="H330" s="80"/>
    </row>
    <row r="331" spans="1:8" x14ac:dyDescent="0.2">
      <c r="A331" s="88" t="s">
        <v>120</v>
      </c>
      <c r="B331" s="129" t="s">
        <v>53</v>
      </c>
      <c r="C331" s="318">
        <v>1270</v>
      </c>
      <c r="D331" s="90"/>
      <c r="E331" s="99"/>
      <c r="H331" s="80"/>
    </row>
    <row r="332" spans="1:8" x14ac:dyDescent="0.2">
      <c r="A332" s="91" t="s">
        <v>583</v>
      </c>
      <c r="B332" s="102" t="s">
        <v>534</v>
      </c>
      <c r="C332" s="318">
        <v>1270</v>
      </c>
      <c r="D332" s="90"/>
      <c r="E332" s="99"/>
      <c r="H332" s="80"/>
    </row>
    <row r="333" spans="1:8" x14ac:dyDescent="0.2">
      <c r="A333" s="80"/>
      <c r="B333" s="80"/>
      <c r="C333" s="312"/>
      <c r="E333" s="99"/>
      <c r="H333" s="80"/>
    </row>
    <row r="334" spans="1:8" x14ac:dyDescent="0.2">
      <c r="A334" s="98" t="s">
        <v>393</v>
      </c>
      <c r="B334" s="98" t="s">
        <v>403</v>
      </c>
      <c r="E334" s="99"/>
      <c r="H334" s="80"/>
    </row>
    <row r="335" spans="1:8" x14ac:dyDescent="0.2">
      <c r="A335" s="275" t="s">
        <v>139</v>
      </c>
      <c r="B335" s="342" t="s">
        <v>431</v>
      </c>
      <c r="E335" s="99"/>
      <c r="H335" s="80"/>
    </row>
    <row r="336" spans="1:8" x14ac:dyDescent="0.2">
      <c r="E336" s="99"/>
      <c r="H336" s="80"/>
    </row>
    <row r="337" spans="1:8" ht="22.5" x14ac:dyDescent="0.2">
      <c r="A337" s="91"/>
      <c r="B337" s="295" t="s">
        <v>513</v>
      </c>
      <c r="C337" s="318"/>
      <c r="D337" s="299">
        <f>C339+C344</f>
        <v>11597.25</v>
      </c>
      <c r="E337" s="99"/>
      <c r="H337" s="80"/>
    </row>
    <row r="338" spans="1:8" x14ac:dyDescent="0.2">
      <c r="A338" s="91"/>
      <c r="B338" s="137"/>
      <c r="C338" s="318"/>
      <c r="D338" s="90"/>
      <c r="E338" s="99"/>
      <c r="H338" s="80"/>
    </row>
    <row r="339" spans="1:8" x14ac:dyDescent="0.2">
      <c r="A339" s="303" t="s">
        <v>119</v>
      </c>
      <c r="B339" s="309" t="s">
        <v>524</v>
      </c>
      <c r="C339" s="319">
        <f>SUM(C340)</f>
        <v>4700</v>
      </c>
      <c r="D339" s="90"/>
      <c r="E339" s="99"/>
      <c r="H339" s="80"/>
    </row>
    <row r="340" spans="1:8" x14ac:dyDescent="0.2">
      <c r="A340" s="91" t="s">
        <v>125</v>
      </c>
      <c r="B340" s="137" t="s">
        <v>366</v>
      </c>
      <c r="C340" s="317">
        <f>SUM(C341:C342)</f>
        <v>4700</v>
      </c>
      <c r="D340" s="90"/>
      <c r="E340" s="99"/>
      <c r="H340" s="80"/>
    </row>
    <row r="341" spans="1:8" x14ac:dyDescent="0.2">
      <c r="A341" s="91" t="s">
        <v>454</v>
      </c>
      <c r="B341" s="138" t="s">
        <v>367</v>
      </c>
      <c r="C341" s="318">
        <v>4200</v>
      </c>
      <c r="D341" s="90"/>
      <c r="E341" s="99"/>
      <c r="H341" s="80"/>
    </row>
    <row r="342" spans="1:8" x14ac:dyDescent="0.2">
      <c r="A342" s="91" t="s">
        <v>126</v>
      </c>
      <c r="B342" s="138" t="s">
        <v>417</v>
      </c>
      <c r="C342" s="318">
        <v>500</v>
      </c>
      <c r="D342" s="90"/>
      <c r="E342" s="99"/>
      <c r="H342" s="80"/>
    </row>
    <row r="343" spans="1:8" x14ac:dyDescent="0.2">
      <c r="A343" s="91"/>
      <c r="B343" s="138"/>
      <c r="C343" s="318"/>
      <c r="D343" s="90"/>
      <c r="E343" s="99"/>
      <c r="H343" s="80"/>
    </row>
    <row r="344" spans="1:8" x14ac:dyDescent="0.2">
      <c r="A344" s="303" t="s">
        <v>131</v>
      </c>
      <c r="B344" s="309" t="s">
        <v>527</v>
      </c>
      <c r="C344" s="319">
        <f>+C345+C349+C351</f>
        <v>6897.25</v>
      </c>
      <c r="D344" s="90"/>
      <c r="E344" s="99"/>
      <c r="H344" s="80"/>
    </row>
    <row r="345" spans="1:8" x14ac:dyDescent="0.2">
      <c r="A345" s="91" t="s">
        <v>368</v>
      </c>
      <c r="B345" s="137" t="s">
        <v>371</v>
      </c>
      <c r="C345" s="317">
        <f>+C346</f>
        <v>300</v>
      </c>
      <c r="D345" s="90"/>
      <c r="E345" s="99"/>
      <c r="H345" s="80"/>
    </row>
    <row r="346" spans="1:8" x14ac:dyDescent="0.2">
      <c r="A346" s="91" t="s">
        <v>370</v>
      </c>
      <c r="B346" s="138" t="s">
        <v>369</v>
      </c>
      <c r="C346" s="318">
        <v>300</v>
      </c>
      <c r="D346" s="90"/>
      <c r="E346" s="99"/>
      <c r="H346" s="80"/>
    </row>
    <row r="347" spans="1:8" x14ac:dyDescent="0.2">
      <c r="A347" s="91"/>
      <c r="B347" s="138"/>
      <c r="C347" s="318"/>
      <c r="D347" s="90"/>
      <c r="E347" s="99"/>
      <c r="H347" s="80"/>
    </row>
    <row r="348" spans="1:8" x14ac:dyDescent="0.2">
      <c r="A348" s="88" t="s">
        <v>134</v>
      </c>
      <c r="B348" s="137" t="s">
        <v>450</v>
      </c>
      <c r="C348" s="317">
        <f>+C349</f>
        <v>1000</v>
      </c>
      <c r="D348" s="90"/>
      <c r="E348" s="99"/>
      <c r="H348" s="80"/>
    </row>
    <row r="349" spans="1:8" x14ac:dyDescent="0.2">
      <c r="A349" s="91" t="s">
        <v>449</v>
      </c>
      <c r="B349" s="138" t="s">
        <v>579</v>
      </c>
      <c r="C349" s="318">
        <v>1000</v>
      </c>
      <c r="D349" s="90"/>
      <c r="E349" s="99"/>
      <c r="H349" s="80"/>
    </row>
    <row r="350" spans="1:8" x14ac:dyDescent="0.2">
      <c r="A350" s="91"/>
      <c r="B350" s="137"/>
      <c r="C350" s="318"/>
      <c r="D350" s="90"/>
      <c r="E350" s="99"/>
      <c r="H350" s="80"/>
    </row>
    <row r="351" spans="1:8" x14ac:dyDescent="0.2">
      <c r="A351" s="88" t="s">
        <v>137</v>
      </c>
      <c r="B351" s="129" t="s">
        <v>142</v>
      </c>
      <c r="C351" s="317">
        <f>SUM(C352:C361)</f>
        <v>5597.25</v>
      </c>
      <c r="D351" s="90"/>
      <c r="E351" s="99"/>
      <c r="H351" s="80"/>
    </row>
    <row r="352" spans="1:8" ht="22.5" x14ac:dyDescent="0.2">
      <c r="A352" s="91" t="s">
        <v>372</v>
      </c>
      <c r="B352" s="102" t="s">
        <v>404</v>
      </c>
      <c r="C352" s="318">
        <v>146</v>
      </c>
      <c r="D352" s="90"/>
      <c r="E352" s="99"/>
      <c r="H352" s="80"/>
    </row>
    <row r="353" spans="1:8" x14ac:dyDescent="0.2">
      <c r="A353" s="91" t="s">
        <v>373</v>
      </c>
      <c r="B353" s="102" t="s">
        <v>374</v>
      </c>
      <c r="C353" s="318">
        <v>96.25</v>
      </c>
      <c r="D353" s="90"/>
      <c r="E353" s="99"/>
      <c r="H353" s="80"/>
    </row>
    <row r="354" spans="1:8" x14ac:dyDescent="0.2">
      <c r="A354" s="91" t="s">
        <v>409</v>
      </c>
      <c r="B354" s="102" t="s">
        <v>447</v>
      </c>
      <c r="C354" s="318">
        <v>670</v>
      </c>
      <c r="D354" s="90"/>
      <c r="E354" s="99"/>
      <c r="H354" s="80"/>
    </row>
    <row r="355" spans="1:8" x14ac:dyDescent="0.2">
      <c r="A355" s="91" t="s">
        <v>410</v>
      </c>
      <c r="B355" s="102" t="s">
        <v>448</v>
      </c>
      <c r="C355" s="318">
        <v>30</v>
      </c>
      <c r="D355" s="90"/>
      <c r="E355" s="99"/>
      <c r="H355" s="80"/>
    </row>
    <row r="356" spans="1:8" x14ac:dyDescent="0.2">
      <c r="A356" s="91" t="s">
        <v>411</v>
      </c>
      <c r="B356" s="102" t="s">
        <v>405</v>
      </c>
      <c r="C356" s="318">
        <v>15</v>
      </c>
      <c r="D356" s="90"/>
      <c r="E356" s="99"/>
      <c r="H356" s="80"/>
    </row>
    <row r="357" spans="1:8" x14ac:dyDescent="0.2">
      <c r="A357" s="91" t="s">
        <v>412</v>
      </c>
      <c r="B357" s="102" t="s">
        <v>406</v>
      </c>
      <c r="C357" s="318">
        <v>240</v>
      </c>
      <c r="D357" s="90"/>
      <c r="E357" s="99"/>
      <c r="H357" s="80"/>
    </row>
    <row r="358" spans="1:8" x14ac:dyDescent="0.2">
      <c r="A358" s="91" t="s">
        <v>413</v>
      </c>
      <c r="B358" s="102" t="s">
        <v>407</v>
      </c>
      <c r="C358" s="318">
        <v>160</v>
      </c>
      <c r="D358" s="90"/>
      <c r="E358" s="99"/>
      <c r="H358" s="80"/>
    </row>
    <row r="359" spans="1:8" x14ac:dyDescent="0.2">
      <c r="A359" s="91" t="s">
        <v>414</v>
      </c>
      <c r="B359" s="102" t="s">
        <v>545</v>
      </c>
      <c r="C359" s="318">
        <v>150</v>
      </c>
      <c r="D359" s="90"/>
      <c r="E359" s="99"/>
      <c r="H359" s="80"/>
    </row>
    <row r="360" spans="1:8" x14ac:dyDescent="0.2">
      <c r="A360" s="91" t="s">
        <v>415</v>
      </c>
      <c r="B360" s="102" t="s">
        <v>408</v>
      </c>
      <c r="C360" s="318">
        <v>200</v>
      </c>
      <c r="D360" s="90"/>
      <c r="E360" s="99"/>
      <c r="H360" s="80"/>
    </row>
    <row r="361" spans="1:8" x14ac:dyDescent="0.2">
      <c r="A361" s="91" t="s">
        <v>416</v>
      </c>
      <c r="B361" s="102" t="s">
        <v>461</v>
      </c>
      <c r="C361" s="318">
        <v>3890</v>
      </c>
      <c r="D361" s="90"/>
      <c r="E361" s="99"/>
      <c r="H361" s="80"/>
    </row>
    <row r="362" spans="1:8" x14ac:dyDescent="0.2">
      <c r="A362" s="91"/>
      <c r="B362" s="102"/>
      <c r="C362" s="318"/>
      <c r="D362" s="90"/>
      <c r="E362" s="99"/>
      <c r="H362" s="80"/>
    </row>
    <row r="363" spans="1:8" ht="22.5" x14ac:dyDescent="0.2">
      <c r="A363" s="91"/>
      <c r="B363" s="294" t="s">
        <v>495</v>
      </c>
      <c r="C363" s="318"/>
      <c r="D363" s="299">
        <f>C365</f>
        <v>0</v>
      </c>
      <c r="E363" s="99"/>
      <c r="H363" s="80"/>
    </row>
    <row r="364" spans="1:8" x14ac:dyDescent="0.2">
      <c r="A364" s="310" t="s">
        <v>131</v>
      </c>
      <c r="B364" s="311" t="s">
        <v>528</v>
      </c>
      <c r="C364" s="319">
        <f>C365</f>
        <v>0</v>
      </c>
      <c r="D364" s="90"/>
      <c r="E364" s="99"/>
      <c r="H364" s="80"/>
    </row>
    <row r="365" spans="1:8" x14ac:dyDescent="0.2">
      <c r="A365" s="88" t="s">
        <v>494</v>
      </c>
      <c r="B365" s="129" t="s">
        <v>420</v>
      </c>
      <c r="C365" s="317">
        <f>+C366</f>
        <v>0</v>
      </c>
      <c r="D365" s="90"/>
      <c r="E365" s="99"/>
      <c r="H365" s="80"/>
    </row>
    <row r="366" spans="1:8" x14ac:dyDescent="0.2">
      <c r="A366" s="91" t="s">
        <v>470</v>
      </c>
      <c r="B366" s="102" t="s">
        <v>580</v>
      </c>
      <c r="C366" s="318">
        <v>0</v>
      </c>
      <c r="D366" s="90"/>
      <c r="E366" s="99"/>
      <c r="H366" s="80"/>
    </row>
    <row r="367" spans="1:8" x14ac:dyDescent="0.2">
      <c r="A367" s="91"/>
      <c r="B367" s="102"/>
      <c r="C367" s="318"/>
      <c r="D367" s="90"/>
      <c r="E367" s="99"/>
      <c r="H367" s="80"/>
    </row>
    <row r="368" spans="1:8" ht="22.5" x14ac:dyDescent="0.2">
      <c r="A368" s="352"/>
      <c r="B368" s="353" t="s">
        <v>588</v>
      </c>
      <c r="C368" s="354"/>
      <c r="D368" s="355">
        <f>C372</f>
        <v>3000</v>
      </c>
      <c r="E368" s="99"/>
      <c r="H368" s="80"/>
    </row>
    <row r="369" spans="1:8" x14ac:dyDescent="0.2">
      <c r="A369" s="356"/>
      <c r="B369" s="357"/>
      <c r="C369" s="358"/>
      <c r="D369" s="56"/>
      <c r="E369" s="99"/>
      <c r="H369" s="80"/>
    </row>
    <row r="370" spans="1:8" x14ac:dyDescent="0.2">
      <c r="A370" s="356" t="s">
        <v>561</v>
      </c>
      <c r="B370" s="357" t="s">
        <v>562</v>
      </c>
      <c r="C370" s="358">
        <f>C371</f>
        <v>3000</v>
      </c>
      <c r="D370" s="56"/>
      <c r="E370" s="99"/>
      <c r="H370" s="80"/>
    </row>
    <row r="371" spans="1:8" x14ac:dyDescent="0.2">
      <c r="A371" s="352" t="s">
        <v>473</v>
      </c>
      <c r="B371" s="138" t="s">
        <v>560</v>
      </c>
      <c r="C371" s="354">
        <v>3000</v>
      </c>
      <c r="D371" s="56"/>
      <c r="E371" s="99"/>
      <c r="H371" s="80"/>
    </row>
    <row r="372" spans="1:8" x14ac:dyDescent="0.2">
      <c r="A372" s="352" t="s">
        <v>558</v>
      </c>
      <c r="B372" s="138" t="s">
        <v>559</v>
      </c>
      <c r="C372" s="354">
        <v>3000</v>
      </c>
      <c r="D372" s="56"/>
      <c r="E372" s="99"/>
      <c r="H372" s="80"/>
    </row>
    <row r="373" spans="1:8" x14ac:dyDescent="0.2">
      <c r="A373" s="352"/>
      <c r="B373" s="138"/>
      <c r="C373" s="354"/>
      <c r="D373" s="56"/>
      <c r="E373" s="82"/>
      <c r="F373" s="79"/>
      <c r="H373" s="80"/>
    </row>
    <row r="374" spans="1:8" x14ac:dyDescent="0.2">
      <c r="A374" s="88" t="s">
        <v>418</v>
      </c>
      <c r="B374" s="129" t="s">
        <v>421</v>
      </c>
      <c r="C374" s="318"/>
      <c r="D374" s="90"/>
      <c r="E374" s="82"/>
      <c r="F374" s="79"/>
      <c r="H374" s="80"/>
    </row>
    <row r="375" spans="1:8" ht="22.5" x14ac:dyDescent="0.2">
      <c r="A375" s="88"/>
      <c r="B375" s="294" t="s">
        <v>504</v>
      </c>
      <c r="C375" s="318"/>
      <c r="D375" s="299">
        <v>25760</v>
      </c>
      <c r="E375" s="82"/>
      <c r="F375" s="79"/>
      <c r="H375" s="80"/>
    </row>
    <row r="376" spans="1:8" x14ac:dyDescent="0.2">
      <c r="A376" s="303" t="s">
        <v>131</v>
      </c>
      <c r="B376" s="311" t="s">
        <v>528</v>
      </c>
      <c r="C376" s="319">
        <f>C377</f>
        <v>25760</v>
      </c>
      <c r="D376" s="80"/>
      <c r="E376" s="82"/>
      <c r="F376" s="79"/>
      <c r="H376" s="80"/>
    </row>
    <row r="377" spans="1:8" ht="22.5" x14ac:dyDescent="0.2">
      <c r="A377" s="88" t="s">
        <v>135</v>
      </c>
      <c r="B377" s="129" t="s">
        <v>423</v>
      </c>
      <c r="C377" s="317">
        <f>C378+C227</f>
        <v>25760</v>
      </c>
      <c r="D377" s="90"/>
      <c r="H377" s="80"/>
    </row>
    <row r="378" spans="1:8" ht="22.5" x14ac:dyDescent="0.2">
      <c r="A378" s="91" t="s">
        <v>422</v>
      </c>
      <c r="B378" s="102" t="s">
        <v>424</v>
      </c>
      <c r="C378" s="318">
        <v>25760</v>
      </c>
      <c r="D378" s="90"/>
      <c r="H378" s="80"/>
    </row>
    <row r="379" spans="1:8" x14ac:dyDescent="0.2">
      <c r="A379" s="91"/>
      <c r="B379" s="102"/>
      <c r="C379" s="318"/>
      <c r="D379" s="90"/>
      <c r="H379" s="80"/>
    </row>
    <row r="380" spans="1:8" x14ac:dyDescent="0.2">
      <c r="A380" s="91"/>
      <c r="B380" s="102"/>
      <c r="C380" s="318"/>
      <c r="D380" s="90"/>
      <c r="H380" s="80"/>
    </row>
    <row r="381" spans="1:8" ht="22.5" x14ac:dyDescent="0.2">
      <c r="A381" s="91"/>
      <c r="B381" s="294" t="s">
        <v>425</v>
      </c>
      <c r="C381" s="318"/>
      <c r="D381" s="299">
        <f>+C382</f>
        <v>1000</v>
      </c>
      <c r="H381" s="80"/>
    </row>
    <row r="382" spans="1:8" x14ac:dyDescent="0.2">
      <c r="A382" s="303" t="s">
        <v>131</v>
      </c>
      <c r="B382" s="311" t="s">
        <v>528</v>
      </c>
      <c r="C382" s="319">
        <f>SUM(C383)</f>
        <v>1000</v>
      </c>
      <c r="D382" s="90"/>
      <c r="H382" s="80"/>
    </row>
    <row r="383" spans="1:8" x14ac:dyDescent="0.2">
      <c r="A383" s="88" t="s">
        <v>137</v>
      </c>
      <c r="B383" s="129" t="s">
        <v>142</v>
      </c>
      <c r="C383" s="317">
        <f>+C384</f>
        <v>1000</v>
      </c>
      <c r="D383" s="90"/>
      <c r="H383" s="80"/>
    </row>
    <row r="384" spans="1:8" x14ac:dyDescent="0.2">
      <c r="A384" s="91" t="s">
        <v>159</v>
      </c>
      <c r="B384" s="102" t="s">
        <v>160</v>
      </c>
      <c r="C384" s="318">
        <v>1000</v>
      </c>
      <c r="D384" s="90"/>
      <c r="H384" s="80"/>
    </row>
    <row r="385" spans="1:8" x14ac:dyDescent="0.2">
      <c r="A385" s="91"/>
      <c r="B385" s="102"/>
      <c r="C385" s="318"/>
      <c r="D385" s="90"/>
      <c r="H385" s="80"/>
    </row>
    <row r="386" spans="1:8" x14ac:dyDescent="0.2">
      <c r="A386" s="91"/>
      <c r="B386" s="294" t="s">
        <v>515</v>
      </c>
      <c r="C386" s="318"/>
      <c r="D386" s="299">
        <f>C387</f>
        <v>13765.03</v>
      </c>
      <c r="H386" s="80"/>
    </row>
    <row r="387" spans="1:8" x14ac:dyDescent="0.2">
      <c r="A387" s="303" t="s">
        <v>514</v>
      </c>
      <c r="B387" s="304" t="s">
        <v>529</v>
      </c>
      <c r="C387" s="319">
        <f>C388</f>
        <v>13765.03</v>
      </c>
      <c r="D387" s="90"/>
      <c r="H387" s="80"/>
    </row>
    <row r="388" spans="1:8" x14ac:dyDescent="0.2">
      <c r="A388" s="88" t="s">
        <v>516</v>
      </c>
      <c r="B388" s="129" t="s">
        <v>517</v>
      </c>
      <c r="C388" s="317">
        <f>C389</f>
        <v>13765.03</v>
      </c>
      <c r="D388" s="90"/>
      <c r="H388" s="80"/>
    </row>
    <row r="389" spans="1:8" x14ac:dyDescent="0.2">
      <c r="A389" s="302" t="s">
        <v>533</v>
      </c>
      <c r="B389" s="280" t="s">
        <v>530</v>
      </c>
      <c r="C389" s="318">
        <v>13765.03</v>
      </c>
      <c r="D389" s="90"/>
      <c r="H389" s="80"/>
    </row>
    <row r="390" spans="1:8" x14ac:dyDescent="0.2">
      <c r="A390" s="80"/>
      <c r="B390" s="80"/>
      <c r="C390" s="312"/>
      <c r="D390" s="83">
        <f>SUM(D7:D389)</f>
        <v>497046.78000000009</v>
      </c>
    </row>
    <row r="391" spans="1:8" x14ac:dyDescent="0.2">
      <c r="B391" s="178" t="s">
        <v>251</v>
      </c>
      <c r="D391" s="301"/>
    </row>
    <row r="392" spans="1:8" x14ac:dyDescent="0.2">
      <c r="D392" s="297"/>
    </row>
    <row r="396" spans="1:8" x14ac:dyDescent="0.2">
      <c r="B396" s="127" t="s">
        <v>518</v>
      </c>
      <c r="C396" s="314" t="s">
        <v>460</v>
      </c>
    </row>
    <row r="397" spans="1:8" x14ac:dyDescent="0.2">
      <c r="B397" s="178" t="s">
        <v>255</v>
      </c>
      <c r="C397" s="329" t="s">
        <v>519</v>
      </c>
    </row>
  </sheetData>
  <mergeCells count="5">
    <mergeCell ref="A1:D1"/>
    <mergeCell ref="B216:B217"/>
    <mergeCell ref="A216:A217"/>
    <mergeCell ref="C216:C217"/>
    <mergeCell ref="D216:D217"/>
  </mergeCells>
  <pageMargins left="0.70866141732283472" right="0.70866141732283472" top="1.3125" bottom="0.86614173228346458" header="0.31496062992125984" footer="0.31496062992125984"/>
  <pageSetup paperSize="9" scale="96" fitToHeight="0" orientation="portrait" r:id="rId1"/>
  <headerFooter>
    <oddHeader>&amp;C&amp;"Harrington,Negrita"&amp;15
PRESUPUESTO AÑO 2015
GASTOS</oddHeader>
  </headerFooter>
  <rowBreaks count="1" manualBreakCount="1">
    <brk id="7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B12" workbookViewId="0">
      <selection activeCell="D23" sqref="D23"/>
    </sheetView>
  </sheetViews>
  <sheetFormatPr baseColWidth="10" defaultColWidth="11.42578125" defaultRowHeight="14.25" x14ac:dyDescent="0.2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 x14ac:dyDescent="0.3">
      <c r="B1" s="78" t="s">
        <v>535</v>
      </c>
      <c r="C1" s="78"/>
    </row>
    <row r="2" spans="2:19" ht="20.25" hidden="1" x14ac:dyDescent="0.3">
      <c r="B2" s="78"/>
      <c r="C2" s="78"/>
    </row>
    <row r="3" spans="2:19" ht="20.25" hidden="1" x14ac:dyDescent="0.3">
      <c r="B3" s="78"/>
      <c r="C3" s="78"/>
      <c r="D3" s="139"/>
    </row>
    <row r="4" spans="2:19" ht="20.25" hidden="1" x14ac:dyDescent="0.3">
      <c r="B4" s="78"/>
      <c r="C4" s="78"/>
      <c r="F4" s="139"/>
    </row>
    <row r="5" spans="2:19" ht="20.25" x14ac:dyDescent="0.3">
      <c r="B5" s="78"/>
      <c r="C5" s="78"/>
    </row>
    <row r="6" spans="2:19" ht="15" thickBot="1" x14ac:dyDescent="0.25"/>
    <row r="7" spans="2:19" ht="76.5" customHeight="1" x14ac:dyDescent="0.2">
      <c r="B7" s="53"/>
      <c r="C7" s="52"/>
      <c r="D7" s="50" t="s">
        <v>35</v>
      </c>
      <c r="E7" s="50" t="s">
        <v>34</v>
      </c>
      <c r="F7" s="50" t="s">
        <v>33</v>
      </c>
      <c r="G7" s="50" t="s">
        <v>32</v>
      </c>
      <c r="H7" s="50" t="s">
        <v>31</v>
      </c>
      <c r="I7" s="50" t="s">
        <v>30</v>
      </c>
      <c r="J7" s="51" t="s">
        <v>29</v>
      </c>
      <c r="K7" s="46"/>
      <c r="L7" s="50" t="s">
        <v>346</v>
      </c>
      <c r="M7" s="50" t="s">
        <v>27</v>
      </c>
      <c r="N7" s="50" t="s">
        <v>26</v>
      </c>
      <c r="O7" s="50" t="s">
        <v>25</v>
      </c>
      <c r="P7" s="50" t="s">
        <v>24</v>
      </c>
      <c r="Q7" s="50" t="s">
        <v>45</v>
      </c>
      <c r="R7" s="50" t="s">
        <v>44</v>
      </c>
      <c r="S7" s="46"/>
    </row>
    <row r="8" spans="2:19" s="19" customFormat="1" ht="15" thickBot="1" x14ac:dyDescent="0.25">
      <c r="B8" s="49" t="s">
        <v>43</v>
      </c>
      <c r="C8" s="48"/>
      <c r="D8" s="154">
        <v>0.34065000000000001</v>
      </c>
      <c r="E8" s="45"/>
      <c r="F8" s="45"/>
      <c r="G8" s="45"/>
      <c r="H8" s="45"/>
      <c r="I8" s="152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 x14ac:dyDescent="0.25">
      <c r="B9" s="44" t="s">
        <v>42</v>
      </c>
      <c r="C9" s="43" t="s">
        <v>41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 x14ac:dyDescent="0.2">
      <c r="B10" s="39" t="s">
        <v>22</v>
      </c>
      <c r="C10" s="38" t="s">
        <v>21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 x14ac:dyDescent="0.2">
      <c r="B11" s="61"/>
      <c r="C11" s="62" t="s">
        <v>204</v>
      </c>
      <c r="D11" s="22">
        <v>1042.8499999999999</v>
      </c>
      <c r="E11" s="22">
        <f t="shared" ref="E11:E16" si="0">+D11*12</f>
        <v>12514.199999999999</v>
      </c>
      <c r="F11" s="22">
        <f t="shared" ref="F11:F17" si="1">+D11</f>
        <v>1042.8499999999999</v>
      </c>
      <c r="G11" s="22">
        <f>+$D$12</f>
        <v>364.99</v>
      </c>
      <c r="H11" s="22">
        <f>D11*8.33%*7</f>
        <v>608.08583499999986</v>
      </c>
      <c r="I11" s="22">
        <f>+(D11*$I$8)*12</f>
        <v>1395.3332999999998</v>
      </c>
      <c r="J11" s="59">
        <f>SUM(E11:I11)</f>
        <v>15925.459134999999</v>
      </c>
      <c r="K11" s="58"/>
      <c r="L11" s="22"/>
      <c r="M11" s="22">
        <v>200</v>
      </c>
      <c r="N11" s="22"/>
      <c r="O11" s="22"/>
      <c r="P11" s="22">
        <v>4000</v>
      </c>
      <c r="Q11" s="22"/>
      <c r="R11" s="22"/>
      <c r="S11" s="58"/>
    </row>
    <row r="12" spans="2:19" x14ac:dyDescent="0.2">
      <c r="B12" s="61"/>
      <c r="C12" s="61" t="s">
        <v>205</v>
      </c>
      <c r="D12" s="22">
        <v>364.99</v>
      </c>
      <c r="E12" s="22">
        <f t="shared" si="0"/>
        <v>4379.88</v>
      </c>
      <c r="F12" s="22">
        <f t="shared" si="1"/>
        <v>364.99</v>
      </c>
      <c r="G12" s="22">
        <f>+G11</f>
        <v>364.99</v>
      </c>
      <c r="H12" s="22">
        <f t="shared" ref="H12:H15" si="2">D12*8.33%*7</f>
        <v>212.825669</v>
      </c>
      <c r="I12" s="22">
        <f t="shared" ref="I12:I17" si="3">+(D12*$I$8)*12</f>
        <v>488.35662000000002</v>
      </c>
      <c r="J12" s="59">
        <f t="shared" ref="J12:J17" si="4">SUM(E12:I12)</f>
        <v>5811.0422889999991</v>
      </c>
      <c r="K12" s="58"/>
      <c r="L12" s="22"/>
      <c r="M12" s="22">
        <v>200</v>
      </c>
      <c r="N12" s="22"/>
      <c r="O12" s="22"/>
      <c r="P12" s="22">
        <f t="shared" ref="P12:P17" si="5">50*12</f>
        <v>600</v>
      </c>
      <c r="Q12" s="22"/>
      <c r="R12" s="22"/>
      <c r="S12" s="58"/>
    </row>
    <row r="13" spans="2:19" x14ac:dyDescent="0.2">
      <c r="B13" s="61"/>
      <c r="C13" s="61" t="s">
        <v>206</v>
      </c>
      <c r="D13" s="22">
        <f>+D12</f>
        <v>364.99</v>
      </c>
      <c r="E13" s="22">
        <f t="shared" si="0"/>
        <v>4379.88</v>
      </c>
      <c r="F13" s="22">
        <f t="shared" si="1"/>
        <v>364.99</v>
      </c>
      <c r="G13" s="22">
        <f>+G12</f>
        <v>364.99</v>
      </c>
      <c r="H13" s="22">
        <f t="shared" si="2"/>
        <v>212.825669</v>
      </c>
      <c r="I13" s="22">
        <f t="shared" si="3"/>
        <v>488.35662000000002</v>
      </c>
      <c r="J13" s="59">
        <f t="shared" si="4"/>
        <v>5811.0422889999991</v>
      </c>
      <c r="K13" s="58"/>
      <c r="L13" s="22"/>
      <c r="M13" s="22">
        <v>200</v>
      </c>
      <c r="N13" s="22"/>
      <c r="O13" s="22"/>
      <c r="P13" s="22">
        <f t="shared" si="5"/>
        <v>600</v>
      </c>
      <c r="Q13" s="22"/>
      <c r="R13" s="22"/>
      <c r="S13" s="58"/>
    </row>
    <row r="14" spans="2:19" ht="13.9" x14ac:dyDescent="0.25">
      <c r="B14" s="61"/>
      <c r="C14" s="61" t="s">
        <v>207</v>
      </c>
      <c r="D14" s="22">
        <f>+D13</f>
        <v>364.99</v>
      </c>
      <c r="E14" s="22">
        <f t="shared" si="0"/>
        <v>4379.88</v>
      </c>
      <c r="F14" s="22">
        <f t="shared" si="1"/>
        <v>364.99</v>
      </c>
      <c r="G14" s="22">
        <f>+G13</f>
        <v>364.99</v>
      </c>
      <c r="H14" s="22">
        <f t="shared" si="2"/>
        <v>212.825669</v>
      </c>
      <c r="I14" s="22">
        <f t="shared" si="3"/>
        <v>488.35662000000002</v>
      </c>
      <c r="J14" s="59">
        <f t="shared" si="4"/>
        <v>5811.0422889999991</v>
      </c>
      <c r="K14" s="58"/>
      <c r="L14" s="22"/>
      <c r="M14" s="22">
        <v>200</v>
      </c>
      <c r="N14" s="22"/>
      <c r="O14" s="22"/>
      <c r="P14" s="22">
        <f t="shared" si="5"/>
        <v>600</v>
      </c>
      <c r="Q14" s="22"/>
      <c r="R14" s="22"/>
      <c r="S14" s="58"/>
    </row>
    <row r="15" spans="2:19" ht="13.9" x14ac:dyDescent="0.25">
      <c r="B15" s="61"/>
      <c r="C15" s="61" t="s">
        <v>208</v>
      </c>
      <c r="D15" s="22">
        <f>+D14</f>
        <v>364.99</v>
      </c>
      <c r="E15" s="22">
        <f t="shared" si="0"/>
        <v>4379.88</v>
      </c>
      <c r="F15" s="22">
        <f t="shared" si="1"/>
        <v>364.99</v>
      </c>
      <c r="G15" s="22">
        <f>+G14</f>
        <v>364.99</v>
      </c>
      <c r="H15" s="22">
        <f t="shared" si="2"/>
        <v>212.825669</v>
      </c>
      <c r="I15" s="22">
        <f t="shared" si="3"/>
        <v>488.35662000000002</v>
      </c>
      <c r="J15" s="59">
        <f t="shared" si="4"/>
        <v>5811.0422889999991</v>
      </c>
      <c r="K15" s="58"/>
      <c r="L15" s="22"/>
      <c r="M15" s="22">
        <v>200</v>
      </c>
      <c r="N15" s="22"/>
      <c r="O15" s="22"/>
      <c r="P15" s="22">
        <f t="shared" si="5"/>
        <v>600</v>
      </c>
      <c r="Q15" s="22"/>
      <c r="R15" s="22"/>
      <c r="S15" s="58"/>
    </row>
    <row r="16" spans="2:19" x14ac:dyDescent="0.2">
      <c r="B16" s="61"/>
      <c r="C16" s="61" t="s">
        <v>209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364.99</v>
      </c>
      <c r="H16" s="22" t="s">
        <v>511</v>
      </c>
      <c r="I16" s="22">
        <f t="shared" si="3"/>
        <v>742.59</v>
      </c>
      <c r="J16" s="59">
        <f t="shared" si="4"/>
        <v>8322.58</v>
      </c>
      <c r="K16" s="58"/>
      <c r="L16" s="22"/>
      <c r="M16" s="22">
        <v>200</v>
      </c>
      <c r="N16" s="22"/>
      <c r="O16" s="22"/>
      <c r="P16" s="22">
        <f t="shared" si="5"/>
        <v>600</v>
      </c>
      <c r="Q16" s="22"/>
      <c r="R16" s="22"/>
      <c r="S16" s="58"/>
    </row>
    <row r="17" spans="2:19" ht="15" thickBot="1" x14ac:dyDescent="0.25">
      <c r="B17" s="61"/>
      <c r="C17" s="61" t="s">
        <v>210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3"/>
        <v>0</v>
      </c>
      <c r="J17" s="59">
        <f t="shared" si="4"/>
        <v>0</v>
      </c>
      <c r="K17" s="58"/>
      <c r="L17" s="22"/>
      <c r="M17" s="22">
        <v>200</v>
      </c>
      <c r="N17" s="22"/>
      <c r="O17" s="22"/>
      <c r="P17" s="22">
        <f t="shared" si="5"/>
        <v>600</v>
      </c>
      <c r="Q17" s="22"/>
      <c r="R17" s="22"/>
      <c r="S17" s="58"/>
    </row>
    <row r="18" spans="2:19" ht="15" thickBot="1" x14ac:dyDescent="0.25">
      <c r="B18" s="34"/>
      <c r="C18" s="33" t="s">
        <v>36</v>
      </c>
      <c r="D18" s="57">
        <f>SUM(D11:D17)</f>
        <v>3057.8099999999995</v>
      </c>
      <c r="E18" s="57">
        <f>SUM(E11:E16)</f>
        <v>36693.72</v>
      </c>
      <c r="F18" s="57">
        <f>SUM(F11:F17)</f>
        <v>3057.8099999999995</v>
      </c>
      <c r="G18" s="57">
        <f>SUM(G11:G17)</f>
        <v>2189.94</v>
      </c>
      <c r="H18" s="57">
        <f>SUM(H11:H16)</f>
        <v>1459.3885110000001</v>
      </c>
      <c r="I18" s="57">
        <f>SUM(I11:I17)</f>
        <v>4091.34978</v>
      </c>
      <c r="J18" s="57">
        <f>SUM(J11:J17)</f>
        <v>47492.208290999995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0</v>
      </c>
      <c r="P18" s="57">
        <f>SUM(P11:P17)</f>
        <v>7600</v>
      </c>
      <c r="Q18" s="57"/>
      <c r="R18" s="57"/>
      <c r="S18" s="55"/>
    </row>
    <row r="19" spans="2:19" ht="15" thickBot="1" x14ac:dyDescent="0.25">
      <c r="B19" s="44" t="s">
        <v>347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 x14ac:dyDescent="0.2">
      <c r="B20" s="39" t="s">
        <v>22</v>
      </c>
      <c r="C20" s="38" t="s">
        <v>21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 x14ac:dyDescent="0.2">
      <c r="B21" s="61"/>
      <c r="C21" s="62" t="s">
        <v>536</v>
      </c>
      <c r="D21" s="22">
        <v>362</v>
      </c>
      <c r="E21" s="22">
        <f>+D21*12</f>
        <v>4344</v>
      </c>
      <c r="F21" s="22">
        <f>+D21</f>
        <v>362</v>
      </c>
      <c r="G21" s="22">
        <f>+D21</f>
        <v>362</v>
      </c>
      <c r="H21" s="22"/>
      <c r="I21" s="22">
        <f>+(D21*$I$8)*12</f>
        <v>484.35599999999999</v>
      </c>
      <c r="J21" s="59">
        <f>SUM(E21:I21)</f>
        <v>5552.3559999999998</v>
      </c>
      <c r="K21" s="58"/>
      <c r="L21" s="22">
        <f>+H21</f>
        <v>0</v>
      </c>
      <c r="M21" s="22"/>
      <c r="N21" s="22"/>
      <c r="O21" s="22"/>
      <c r="P21" s="22"/>
      <c r="Q21" s="22"/>
      <c r="R21" s="22"/>
      <c r="S21" s="58"/>
    </row>
    <row r="22" spans="2:19" x14ac:dyDescent="0.2">
      <c r="B22" s="61"/>
      <c r="C22" s="62" t="s">
        <v>537</v>
      </c>
      <c r="D22" s="22">
        <v>359</v>
      </c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 x14ac:dyDescent="0.2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 x14ac:dyDescent="0.2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 x14ac:dyDescent="0.2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 x14ac:dyDescent="0.2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 x14ac:dyDescent="0.25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 x14ac:dyDescent="0.25">
      <c r="B28" s="34"/>
      <c r="C28" s="33" t="s">
        <v>36</v>
      </c>
      <c r="D28" s="57">
        <f t="shared" ref="D28:J28" si="6">SUM(D21:D27)</f>
        <v>721</v>
      </c>
      <c r="E28" s="57">
        <f t="shared" si="6"/>
        <v>4344</v>
      </c>
      <c r="F28" s="57">
        <f t="shared" si="6"/>
        <v>362</v>
      </c>
      <c r="G28" s="57">
        <f t="shared" si="6"/>
        <v>362</v>
      </c>
      <c r="H28" s="57">
        <f t="shared" si="6"/>
        <v>0</v>
      </c>
      <c r="I28" s="57">
        <f t="shared" si="6"/>
        <v>484.35599999999999</v>
      </c>
      <c r="J28" s="32">
        <f t="shared" si="6"/>
        <v>5552.3559999999998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 x14ac:dyDescent="0.25">
      <c r="B29" s="44" t="s">
        <v>40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 x14ac:dyDescent="0.2">
      <c r="B30" s="39" t="s">
        <v>22</v>
      </c>
      <c r="C30" s="38" t="s">
        <v>21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 x14ac:dyDescent="0.25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 x14ac:dyDescent="0.25">
      <c r="B32" s="73"/>
      <c r="C32" s="72" t="s">
        <v>36</v>
      </c>
      <c r="D32" s="56"/>
      <c r="E32" s="56">
        <f t="shared" ref="E32:J32" si="7">SUM(E31)</f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32">
        <f t="shared" si="7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 x14ac:dyDescent="0.25">
      <c r="B33" s="54"/>
      <c r="C33" s="28" t="s">
        <v>20</v>
      </c>
      <c r="D33" s="25"/>
      <c r="E33" s="25">
        <f t="shared" ref="E33:J33" si="8">+E32+E28+E18</f>
        <v>41037.72</v>
      </c>
      <c r="F33" s="25">
        <f t="shared" si="8"/>
        <v>3419.8099999999995</v>
      </c>
      <c r="G33" s="25">
        <f t="shared" si="8"/>
        <v>2551.94</v>
      </c>
      <c r="H33" s="25">
        <f t="shared" si="8"/>
        <v>1459.3885110000001</v>
      </c>
      <c r="I33" s="25">
        <f t="shared" si="8"/>
        <v>4575.7057800000002</v>
      </c>
      <c r="J33" s="27">
        <f t="shared" si="8"/>
        <v>53044.564290999995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0</v>
      </c>
      <c r="P33" s="27">
        <f>+P32+P28+P18</f>
        <v>7600</v>
      </c>
      <c r="Q33" s="25"/>
      <c r="R33" s="25"/>
      <c r="S33" s="21"/>
    </row>
    <row r="34" spans="2:19" s="66" customFormat="1" ht="15" thickBot="1" x14ac:dyDescent="0.25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 x14ac:dyDescent="0.2">
      <c r="B35" s="53"/>
      <c r="C35" s="52"/>
      <c r="D35" s="50"/>
      <c r="E35" s="50" t="s">
        <v>34</v>
      </c>
      <c r="F35" s="50" t="s">
        <v>33</v>
      </c>
      <c r="G35" s="50" t="s">
        <v>32</v>
      </c>
      <c r="H35" s="50" t="s">
        <v>31</v>
      </c>
      <c r="I35" s="50" t="s">
        <v>30</v>
      </c>
      <c r="J35" s="51" t="s">
        <v>29</v>
      </c>
      <c r="K35" s="46"/>
      <c r="L35" s="50" t="s">
        <v>28</v>
      </c>
      <c r="M35" s="50" t="s">
        <v>27</v>
      </c>
      <c r="N35" s="50" t="s">
        <v>26</v>
      </c>
      <c r="O35" s="50" t="s">
        <v>25</v>
      </c>
      <c r="P35" s="50" t="s">
        <v>24</v>
      </c>
      <c r="Q35" s="50"/>
      <c r="R35" s="50"/>
      <c r="S35" s="46"/>
    </row>
    <row r="36" spans="2:19" s="19" customFormat="1" ht="15" thickBot="1" x14ac:dyDescent="0.25">
      <c r="B36" s="49" t="s">
        <v>212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 x14ac:dyDescent="0.25">
      <c r="B37" s="44" t="s">
        <v>39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 x14ac:dyDescent="0.2">
      <c r="B38" s="39" t="s">
        <v>22</v>
      </c>
      <c r="C38" s="38" t="s">
        <v>21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 x14ac:dyDescent="0.2">
      <c r="B39" s="61"/>
      <c r="C39" s="62"/>
      <c r="D39" s="22"/>
      <c r="E39" s="22"/>
      <c r="F39" s="22"/>
      <c r="G39" s="22"/>
      <c r="H39" s="22"/>
      <c r="I39" s="22"/>
      <c r="J39" s="59"/>
      <c r="K39" s="58"/>
      <c r="L39" s="22"/>
      <c r="M39" s="22"/>
      <c r="N39" s="22"/>
      <c r="O39" s="22"/>
      <c r="P39" s="22"/>
      <c r="Q39" s="22"/>
      <c r="R39" s="22"/>
      <c r="S39" s="58"/>
    </row>
    <row r="40" spans="2:19" x14ac:dyDescent="0.2">
      <c r="B40" s="61"/>
      <c r="C40" s="108"/>
      <c r="D40" s="109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 x14ac:dyDescent="0.25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 x14ac:dyDescent="0.25">
      <c r="B42" s="34"/>
      <c r="C42" s="33" t="s">
        <v>36</v>
      </c>
      <c r="D42" s="30"/>
      <c r="E42" s="30">
        <f t="shared" ref="E42:J42" si="9">SUM(E39:E40)</f>
        <v>0</v>
      </c>
      <c r="F42" s="30">
        <f t="shared" si="9"/>
        <v>0</v>
      </c>
      <c r="G42" s="30">
        <f t="shared" si="9"/>
        <v>0</v>
      </c>
      <c r="H42" s="30">
        <f t="shared" si="9"/>
        <v>0</v>
      </c>
      <c r="I42" s="30">
        <f t="shared" si="9"/>
        <v>0</v>
      </c>
      <c r="J42" s="30">
        <f t="shared" si="9"/>
        <v>0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 x14ac:dyDescent="0.25">
      <c r="B43" s="29"/>
      <c r="C43" s="28" t="s">
        <v>20</v>
      </c>
      <c r="D43" s="25"/>
      <c r="E43" s="25">
        <f t="shared" ref="E43:J43" si="10">+E42</f>
        <v>0</v>
      </c>
      <c r="F43" s="25">
        <f t="shared" si="10"/>
        <v>0</v>
      </c>
      <c r="G43" s="25">
        <f t="shared" si="10"/>
        <v>0</v>
      </c>
      <c r="H43" s="25">
        <f t="shared" si="10"/>
        <v>0</v>
      </c>
      <c r="I43" s="25">
        <f t="shared" si="10"/>
        <v>0</v>
      </c>
      <c r="J43" s="27">
        <f t="shared" si="10"/>
        <v>0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 x14ac:dyDescent="0.2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 x14ac:dyDescent="0.2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 x14ac:dyDescent="0.2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 x14ac:dyDescent="0.2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 x14ac:dyDescent="0.2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 x14ac:dyDescent="0.2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 x14ac:dyDescent="0.25"/>
    <row r="51" spans="2:20" ht="24" thickBot="1" x14ac:dyDescent="0.4">
      <c r="B51" s="18" t="s">
        <v>213</v>
      </c>
      <c r="C51" s="15"/>
      <c r="D51" s="14"/>
      <c r="E51" s="14">
        <f t="shared" ref="E51:J51" si="11">E43+E33</f>
        <v>41037.72</v>
      </c>
      <c r="F51" s="14">
        <f t="shared" si="11"/>
        <v>3419.8099999999995</v>
      </c>
      <c r="G51" s="14">
        <f t="shared" si="11"/>
        <v>2551.94</v>
      </c>
      <c r="H51" s="14">
        <f t="shared" si="11"/>
        <v>1459.3885110000001</v>
      </c>
      <c r="I51" s="14">
        <f t="shared" si="11"/>
        <v>4575.7057800000002</v>
      </c>
      <c r="J51" s="14">
        <f t="shared" si="11"/>
        <v>53044.564290999995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0</v>
      </c>
      <c r="P51" s="14" t="e">
        <f>+#REF!+P43+P33+#REF!</f>
        <v>#REF!</v>
      </c>
      <c r="Q51" s="14"/>
      <c r="R51" s="17"/>
      <c r="T51" s="4"/>
    </row>
    <row r="52" spans="2:20" x14ac:dyDescent="0.2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 x14ac:dyDescent="0.2">
      <c r="T55" s="4"/>
    </row>
    <row r="57" spans="2:20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topLeftCell="A102" workbookViewId="0">
      <selection activeCell="C126" sqref="C126"/>
    </sheetView>
  </sheetViews>
  <sheetFormatPr baseColWidth="10" defaultRowHeight="15" x14ac:dyDescent="0.25"/>
  <cols>
    <col min="2" max="2" width="43.28515625" customWidth="1"/>
    <col min="3" max="3" width="18.85546875" bestFit="1" customWidth="1"/>
    <col min="5" max="5" width="24.85546875" customWidth="1"/>
  </cols>
  <sheetData>
    <row r="2" spans="2:5" x14ac:dyDescent="0.25">
      <c r="B2" s="193" t="s">
        <v>262</v>
      </c>
      <c r="C2" s="208">
        <f>SUM(C3:C8)</f>
        <v>494357.78</v>
      </c>
      <c r="D2" s="378" t="s">
        <v>236</v>
      </c>
      <c r="E2" s="378"/>
    </row>
    <row r="3" spans="2:5" x14ac:dyDescent="0.25">
      <c r="B3" s="194" t="s">
        <v>263</v>
      </c>
      <c r="C3" s="206">
        <f>+(INGRESOS!K25+INGRESOS!K39)</f>
        <v>159343.91</v>
      </c>
      <c r="D3" s="195"/>
      <c r="E3" s="195"/>
    </row>
    <row r="4" spans="2:5" x14ac:dyDescent="0.25">
      <c r="B4" s="194" t="s">
        <v>264</v>
      </c>
      <c r="C4" s="194">
        <f>+INGRESOS!K26</f>
        <v>2500</v>
      </c>
      <c r="D4" s="195"/>
      <c r="E4" s="271">
        <f>+C2-INGRESOS!K58</f>
        <v>-2689</v>
      </c>
    </row>
    <row r="5" spans="2:5" x14ac:dyDescent="0.25">
      <c r="B5" s="194" t="s">
        <v>298</v>
      </c>
      <c r="C5" s="206">
        <f>+INGRESOS!K33</f>
        <v>133680</v>
      </c>
      <c r="D5" s="195"/>
      <c r="E5" s="195" t="s">
        <v>376</v>
      </c>
    </row>
    <row r="6" spans="2:5" x14ac:dyDescent="0.25">
      <c r="B6" s="194" t="s">
        <v>389</v>
      </c>
      <c r="C6" s="206">
        <f>+INGRESOS!K32</f>
        <v>69409.5</v>
      </c>
      <c r="D6" s="195"/>
      <c r="E6" s="195"/>
    </row>
    <row r="7" spans="2:5" x14ac:dyDescent="0.25">
      <c r="B7" s="194" t="s">
        <v>386</v>
      </c>
      <c r="C7" s="270">
        <f>+INGRESOS!K49</f>
        <v>31013.46</v>
      </c>
      <c r="D7" s="262"/>
      <c r="E7" s="262"/>
    </row>
    <row r="8" spans="2:5" x14ac:dyDescent="0.25">
      <c r="B8" t="s">
        <v>265</v>
      </c>
      <c r="C8" s="269">
        <f>+INGRESOS!K44</f>
        <v>98410.91</v>
      </c>
    </row>
    <row r="9" spans="2:5" x14ac:dyDescent="0.25">
      <c r="B9" s="193" t="s">
        <v>236</v>
      </c>
    </row>
    <row r="10" spans="2:5" x14ac:dyDescent="0.25">
      <c r="B10" s="193" t="s">
        <v>301</v>
      </c>
      <c r="C10" s="211">
        <v>60180</v>
      </c>
      <c r="D10" s="153">
        <f>+C10-INGRESOS!K6</f>
        <v>-2500</v>
      </c>
    </row>
    <row r="11" spans="2:5" ht="15.75" x14ac:dyDescent="0.25">
      <c r="B11" s="196" t="s">
        <v>266</v>
      </c>
      <c r="C11" s="197">
        <f>1042.85*12</f>
        <v>12514.199999999999</v>
      </c>
    </row>
    <row r="12" spans="2:5" ht="15.75" x14ac:dyDescent="0.25">
      <c r="B12" s="196" t="s">
        <v>267</v>
      </c>
      <c r="C12" s="197">
        <f>555*12</f>
        <v>6660</v>
      </c>
    </row>
    <row r="13" spans="2:5" ht="15.75" x14ac:dyDescent="0.25">
      <c r="B13" s="196" t="s">
        <v>268</v>
      </c>
      <c r="C13" s="197">
        <f>364.99*4*12</f>
        <v>17519.52</v>
      </c>
    </row>
    <row r="14" spans="2:5" ht="15.75" x14ac:dyDescent="0.25">
      <c r="B14" s="196" t="s">
        <v>269</v>
      </c>
      <c r="C14" s="197">
        <v>1042.8499999999999</v>
      </c>
    </row>
    <row r="15" spans="2:5" ht="15.75" x14ac:dyDescent="0.25">
      <c r="B15" s="196" t="s">
        <v>270</v>
      </c>
      <c r="C15" s="197">
        <v>354</v>
      </c>
    </row>
    <row r="16" spans="2:5" ht="15.75" x14ac:dyDescent="0.25">
      <c r="B16" s="196" t="s">
        <v>271</v>
      </c>
      <c r="C16" s="197">
        <f>+DISTRIBUTIVO!F16</f>
        <v>555</v>
      </c>
    </row>
    <row r="17" spans="2:4" ht="15.75" x14ac:dyDescent="0.25">
      <c r="B17" s="196" t="s">
        <v>272</v>
      </c>
      <c r="C17" s="197">
        <v>354</v>
      </c>
    </row>
    <row r="18" spans="2:4" ht="15.75" x14ac:dyDescent="0.25">
      <c r="B18" s="196" t="s">
        <v>273</v>
      </c>
      <c r="C18" s="197">
        <f>364.99*4</f>
        <v>1459.96</v>
      </c>
    </row>
    <row r="19" spans="2:4" ht="15.75" x14ac:dyDescent="0.25">
      <c r="B19" s="196" t="s">
        <v>351</v>
      </c>
      <c r="C19" s="197">
        <f>354*4</f>
        <v>1416</v>
      </c>
    </row>
    <row r="20" spans="2:4" ht="15.75" x14ac:dyDescent="0.25">
      <c r="B20" s="196" t="s">
        <v>274</v>
      </c>
      <c r="C20" s="293">
        <f>+DISTRIBUTIVO!H11</f>
        <v>608.08583499999986</v>
      </c>
    </row>
    <row r="21" spans="2:4" ht="15.75" x14ac:dyDescent="0.25">
      <c r="B21" s="196" t="s">
        <v>275</v>
      </c>
      <c r="C21" s="293" t="str">
        <f>+DISTRIBUTIVO!H16</f>
        <v xml:space="preserve"> </v>
      </c>
    </row>
    <row r="22" spans="2:4" ht="15.75" x14ac:dyDescent="0.25">
      <c r="B22" s="196" t="s">
        <v>276</v>
      </c>
      <c r="C22" s="293">
        <f>+DISTRIBUTIVO!H12+DISTRIBUTIVO!H13+DISTRIBUTIVO!H14+DISTRIBUTIVO!H15</f>
        <v>851.30267600000002</v>
      </c>
    </row>
    <row r="23" spans="2:4" ht="15.75" x14ac:dyDescent="0.25">
      <c r="B23" s="196" t="s">
        <v>277</v>
      </c>
      <c r="C23" s="197">
        <v>2815.69</v>
      </c>
    </row>
    <row r="24" spans="2:4" ht="15.75" x14ac:dyDescent="0.25">
      <c r="B24" s="196" t="s">
        <v>278</v>
      </c>
      <c r="C24" s="197">
        <v>1498.5</v>
      </c>
    </row>
    <row r="25" spans="2:4" ht="15.75" x14ac:dyDescent="0.25">
      <c r="B25" s="196" t="s">
        <v>279</v>
      </c>
      <c r="C25" s="197">
        <f>+DISTRIBUTIVO!I12+DISTRIBUTIVO!I13+DISTRIBUTIVO!I14+DISTRIBUTIVO!I15</f>
        <v>1953.4264800000001</v>
      </c>
    </row>
    <row r="26" spans="2:4" ht="15.75" x14ac:dyDescent="0.25">
      <c r="B26" s="196" t="s">
        <v>350</v>
      </c>
      <c r="C26" s="293">
        <f>+DISTRIBUTIVO!L18</f>
        <v>0</v>
      </c>
    </row>
    <row r="27" spans="2:4" ht="15.75" x14ac:dyDescent="0.25">
      <c r="B27" s="198" t="s">
        <v>280</v>
      </c>
      <c r="C27" s="207">
        <v>480</v>
      </c>
    </row>
    <row r="28" spans="2:4" ht="15.75" x14ac:dyDescent="0.25">
      <c r="B28" s="198" t="s">
        <v>281</v>
      </c>
      <c r="C28" s="207">
        <v>550</v>
      </c>
    </row>
    <row r="29" spans="2:4" ht="15.75" x14ac:dyDescent="0.25">
      <c r="B29" s="198" t="s">
        <v>215</v>
      </c>
      <c r="C29" s="207">
        <v>800</v>
      </c>
      <c r="D29">
        <f>40*12</f>
        <v>480</v>
      </c>
    </row>
    <row r="30" spans="2:4" ht="15.75" x14ac:dyDescent="0.25">
      <c r="B30" s="198" t="s">
        <v>282</v>
      </c>
      <c r="C30" s="207">
        <v>1000</v>
      </c>
    </row>
    <row r="31" spans="2:4" ht="15.75" x14ac:dyDescent="0.25">
      <c r="B31" s="198" t="s">
        <v>283</v>
      </c>
      <c r="C31" s="207">
        <v>200</v>
      </c>
    </row>
    <row r="32" spans="2:4" ht="15.75" x14ac:dyDescent="0.25">
      <c r="B32" s="198" t="s">
        <v>299</v>
      </c>
      <c r="C32" s="207">
        <v>100</v>
      </c>
    </row>
    <row r="33" spans="2:5" ht="15.75" x14ac:dyDescent="0.25">
      <c r="B33" s="198" t="s">
        <v>284</v>
      </c>
      <c r="C33" s="207">
        <v>500</v>
      </c>
    </row>
    <row r="34" spans="2:5" ht="15.75" x14ac:dyDescent="0.25">
      <c r="B34" s="198" t="s">
        <v>285</v>
      </c>
      <c r="C34" s="207">
        <v>400</v>
      </c>
    </row>
    <row r="35" spans="2:5" ht="15.75" x14ac:dyDescent="0.25">
      <c r="B35" s="198" t="s">
        <v>286</v>
      </c>
      <c r="C35" s="207">
        <v>150</v>
      </c>
    </row>
    <row r="36" spans="2:5" ht="15.75" x14ac:dyDescent="0.25">
      <c r="B36" s="198" t="s">
        <v>503</v>
      </c>
      <c r="C36" s="207">
        <v>575</v>
      </c>
    </row>
    <row r="37" spans="2:5" ht="15.75" x14ac:dyDescent="0.25">
      <c r="B37" s="198" t="s">
        <v>287</v>
      </c>
      <c r="C37" s="207">
        <v>80</v>
      </c>
    </row>
    <row r="38" spans="2:5" ht="15.75" x14ac:dyDescent="0.25">
      <c r="B38" s="198" t="s">
        <v>288</v>
      </c>
      <c r="C38" s="207">
        <v>400</v>
      </c>
    </row>
    <row r="39" spans="2:5" ht="15.75" x14ac:dyDescent="0.25">
      <c r="B39" s="198" t="s">
        <v>289</v>
      </c>
      <c r="C39" s="199">
        <v>800</v>
      </c>
    </row>
    <row r="40" spans="2:5" ht="15.75" x14ac:dyDescent="0.25">
      <c r="B40" s="198" t="s">
        <v>444</v>
      </c>
      <c r="C40" s="199">
        <v>4780.3999999999996</v>
      </c>
    </row>
    <row r="41" spans="2:5" ht="15.75" x14ac:dyDescent="0.25">
      <c r="B41" s="198" t="s">
        <v>290</v>
      </c>
      <c r="C41" s="207">
        <v>295</v>
      </c>
    </row>
    <row r="42" spans="2:5" ht="15.75" x14ac:dyDescent="0.25">
      <c r="B42" s="210" t="s">
        <v>300</v>
      </c>
      <c r="C42" s="202">
        <f>SUM(C11:C41)</f>
        <v>60712.934991000002</v>
      </c>
      <c r="D42" s="200"/>
    </row>
    <row r="43" spans="2:5" ht="15.75" x14ac:dyDescent="0.25">
      <c r="B43" s="210" t="s">
        <v>302</v>
      </c>
      <c r="C43" s="209">
        <f>+C10-C42</f>
        <v>-532.9349910000019</v>
      </c>
      <c r="D43" s="200"/>
      <c r="E43" s="204"/>
    </row>
    <row r="44" spans="2:5" ht="15.75" x14ac:dyDescent="0.25">
      <c r="B44" s="201" t="s">
        <v>291</v>
      </c>
      <c r="C44" s="202">
        <f>+C2-C42</f>
        <v>433644.84500900004</v>
      </c>
    </row>
    <row r="45" spans="2:5" x14ac:dyDescent="0.25">
      <c r="B45" t="s">
        <v>303</v>
      </c>
    </row>
    <row r="46" spans="2:5" x14ac:dyDescent="0.25">
      <c r="B46" t="s">
        <v>238</v>
      </c>
      <c r="C46" s="285">
        <v>14000</v>
      </c>
    </row>
    <row r="47" spans="2:5" x14ac:dyDescent="0.25">
      <c r="B47" t="s">
        <v>365</v>
      </c>
      <c r="C47" s="285">
        <v>1000</v>
      </c>
    </row>
    <row r="48" spans="2:5" x14ac:dyDescent="0.25">
      <c r="B48" t="s">
        <v>239</v>
      </c>
      <c r="C48" s="285">
        <v>6000</v>
      </c>
    </row>
    <row r="49" spans="2:5" x14ac:dyDescent="0.25">
      <c r="B49" t="s">
        <v>359</v>
      </c>
      <c r="C49" s="285">
        <v>600</v>
      </c>
    </row>
    <row r="50" spans="2:5" x14ac:dyDescent="0.25">
      <c r="B50" t="s">
        <v>360</v>
      </c>
      <c r="C50" s="285">
        <v>800</v>
      </c>
    </row>
    <row r="51" spans="2:5" x14ac:dyDescent="0.25">
      <c r="B51" t="s">
        <v>292</v>
      </c>
      <c r="C51" s="285">
        <v>1000</v>
      </c>
    </row>
    <row r="52" spans="2:5" x14ac:dyDescent="0.25">
      <c r="B52" t="s">
        <v>377</v>
      </c>
      <c r="C52" s="284">
        <v>14597.25</v>
      </c>
    </row>
    <row r="53" spans="2:5" x14ac:dyDescent="0.25">
      <c r="B53" t="s">
        <v>352</v>
      </c>
      <c r="C53" s="286">
        <f>+((INGRESOS!K25+INGRESOS!K39)*10%)</f>
        <v>15934.391000000001</v>
      </c>
      <c r="D53" s="254"/>
      <c r="E53" s="272"/>
    </row>
    <row r="54" spans="2:5" x14ac:dyDescent="0.25">
      <c r="B54" t="s">
        <v>446</v>
      </c>
      <c r="C54" s="286">
        <v>5521.68</v>
      </c>
    </row>
    <row r="55" spans="2:5" x14ac:dyDescent="0.25">
      <c r="B55" t="s">
        <v>391</v>
      </c>
      <c r="C55" s="286">
        <v>7021.68</v>
      </c>
    </row>
    <row r="56" spans="2:5" x14ac:dyDescent="0.25">
      <c r="B56" t="s">
        <v>364</v>
      </c>
      <c r="C56" s="284">
        <v>1000</v>
      </c>
    </row>
    <row r="57" spans="2:5" x14ac:dyDescent="0.25">
      <c r="B57" t="s">
        <v>314</v>
      </c>
      <c r="C57" s="284">
        <v>160500</v>
      </c>
    </row>
    <row r="58" spans="2:5" x14ac:dyDescent="0.25">
      <c r="B58" t="s">
        <v>388</v>
      </c>
      <c r="C58" s="284">
        <f>+INGRESOS!K32</f>
        <v>69409.5</v>
      </c>
    </row>
    <row r="59" spans="2:5" x14ac:dyDescent="0.25">
      <c r="B59" t="s">
        <v>451</v>
      </c>
      <c r="C59" s="284">
        <v>6500</v>
      </c>
    </row>
    <row r="60" spans="2:5" x14ac:dyDescent="0.25">
      <c r="C60" s="284"/>
    </row>
    <row r="61" spans="2:5" s="193" customFormat="1" x14ac:dyDescent="0.25">
      <c r="B61" s="193" t="s">
        <v>304</v>
      </c>
      <c r="C61" s="211">
        <f>SUM(C46:C60)</f>
        <v>303884.50099999999</v>
      </c>
      <c r="D61" s="269"/>
      <c r="E61" s="269"/>
    </row>
    <row r="63" spans="2:5" x14ac:dyDescent="0.25">
      <c r="B63" s="203" t="s">
        <v>445</v>
      </c>
      <c r="C63" s="227">
        <f>+C44-C61</f>
        <v>129760.34400900005</v>
      </c>
      <c r="D63" s="203"/>
      <c r="E63" s="153">
        <f>+C61+C42</f>
        <v>364597.43599099998</v>
      </c>
    </row>
    <row r="64" spans="2:5" x14ac:dyDescent="0.25">
      <c r="B64" s="193"/>
      <c r="C64" s="193"/>
      <c r="D64" s="193"/>
      <c r="E64" s="193"/>
    </row>
    <row r="65" spans="2:9" x14ac:dyDescent="0.25">
      <c r="B65" s="194"/>
      <c r="C65" s="194"/>
      <c r="D65" s="193"/>
      <c r="E65" s="193"/>
    </row>
    <row r="66" spans="2:9" x14ac:dyDescent="0.25">
      <c r="B66" s="194"/>
      <c r="C66" s="194"/>
      <c r="D66" s="193"/>
      <c r="E66" s="193"/>
    </row>
    <row r="67" spans="2:9" x14ac:dyDescent="0.25">
      <c r="B67" s="212" t="s">
        <v>305</v>
      </c>
      <c r="E67" s="212" t="s">
        <v>306</v>
      </c>
      <c r="F67" s="212" t="s">
        <v>307</v>
      </c>
      <c r="G67" s="212" t="s">
        <v>20</v>
      </c>
      <c r="H67" s="212" t="s">
        <v>308</v>
      </c>
    </row>
    <row r="68" spans="2:9" x14ac:dyDescent="0.25">
      <c r="B68" s="233" t="s">
        <v>293</v>
      </c>
      <c r="C68" s="233"/>
      <c r="D68" s="233"/>
      <c r="E68" s="233">
        <f>140*4</f>
        <v>560</v>
      </c>
      <c r="F68" s="233">
        <f>230*4</f>
        <v>920</v>
      </c>
      <c r="G68" s="233">
        <f>+F68+E68</f>
        <v>1480</v>
      </c>
      <c r="H68" s="234">
        <f>F68/G68</f>
        <v>0.6216216216216216</v>
      </c>
    </row>
    <row r="69" spans="2:9" x14ac:dyDescent="0.25">
      <c r="B69" s="236" t="s">
        <v>294</v>
      </c>
      <c r="C69" s="236"/>
      <c r="D69" s="236"/>
      <c r="E69" s="236">
        <v>560</v>
      </c>
      <c r="F69" s="236">
        <f>125*4</f>
        <v>500</v>
      </c>
      <c r="G69" s="236">
        <f>+F69+E69</f>
        <v>1060</v>
      </c>
      <c r="H69" s="237">
        <f>+F69/G69</f>
        <v>0.47169811320754718</v>
      </c>
    </row>
    <row r="70" spans="2:9" ht="25.5" x14ac:dyDescent="0.25">
      <c r="B70" s="238" t="s">
        <v>315</v>
      </c>
      <c r="C70" s="238" t="s">
        <v>316</v>
      </c>
      <c r="D70" s="238" t="s">
        <v>317</v>
      </c>
      <c r="E70" s="236"/>
      <c r="F70" s="237"/>
      <c r="G70" s="236"/>
      <c r="H70" s="236"/>
    </row>
    <row r="71" spans="2:9" ht="25.5" x14ac:dyDescent="0.25">
      <c r="B71" s="246" t="s">
        <v>337</v>
      </c>
      <c r="C71" s="239" t="s">
        <v>342</v>
      </c>
      <c r="D71" s="239"/>
      <c r="E71" s="236">
        <v>56</v>
      </c>
      <c r="F71" s="236">
        <v>120</v>
      </c>
      <c r="G71" s="236">
        <f>+F71+E71</f>
        <v>176</v>
      </c>
      <c r="H71" s="237">
        <f>+F71/G71</f>
        <v>0.68181818181818177</v>
      </c>
      <c r="I71">
        <f>+$C$113*H71</f>
        <v>5308.3777094590923</v>
      </c>
    </row>
    <row r="72" spans="2:9" ht="63.75" x14ac:dyDescent="0.25">
      <c r="B72" s="382" t="s">
        <v>318</v>
      </c>
      <c r="C72" s="239" t="s">
        <v>319</v>
      </c>
      <c r="D72" s="239" t="s">
        <v>343</v>
      </c>
      <c r="E72" s="236">
        <v>102</v>
      </c>
      <c r="F72" s="236">
        <v>40</v>
      </c>
      <c r="G72" s="236">
        <f>+F72+E72</f>
        <v>142</v>
      </c>
      <c r="H72" s="237">
        <f>+F72/G72</f>
        <v>0.28169014084507044</v>
      </c>
      <c r="I72">
        <f>+$C$113*H72</f>
        <v>2193.1325748000008</v>
      </c>
    </row>
    <row r="73" spans="2:9" ht="76.5" x14ac:dyDescent="0.25">
      <c r="B73" s="382"/>
      <c r="C73" s="383" t="s">
        <v>320</v>
      </c>
      <c r="D73" s="239" t="s">
        <v>344</v>
      </c>
      <c r="E73" s="236">
        <v>40</v>
      </c>
      <c r="F73" s="236">
        <v>10</v>
      </c>
      <c r="G73" s="236">
        <f>+F73+E73</f>
        <v>50</v>
      </c>
      <c r="H73" s="237">
        <f>+F73/G73</f>
        <v>0.2</v>
      </c>
      <c r="I73">
        <f>+$C$113*H73</f>
        <v>1557.1241281080006</v>
      </c>
    </row>
    <row r="74" spans="2:9" ht="38.25" x14ac:dyDescent="0.25">
      <c r="B74" s="382"/>
      <c r="C74" s="383"/>
      <c r="D74" s="239" t="s">
        <v>321</v>
      </c>
      <c r="E74" s="236">
        <v>560</v>
      </c>
      <c r="F74" s="236">
        <v>60</v>
      </c>
      <c r="G74" s="236">
        <f>+F74+E74</f>
        <v>620</v>
      </c>
      <c r="H74" s="237">
        <f>+F74/G74</f>
        <v>9.6774193548387094E-2</v>
      </c>
      <c r="I74">
        <f>+$C$113*H74</f>
        <v>753.44715876193573</v>
      </c>
    </row>
    <row r="75" spans="2:9" ht="51" hidden="1" x14ac:dyDescent="0.25">
      <c r="B75" s="382" t="s">
        <v>322</v>
      </c>
      <c r="C75" s="383" t="s">
        <v>323</v>
      </c>
      <c r="D75" s="239" t="s">
        <v>324</v>
      </c>
      <c r="E75" s="236"/>
      <c r="F75" s="237"/>
      <c r="G75" s="236"/>
      <c r="H75" s="236"/>
    </row>
    <row r="76" spans="2:9" ht="25.5" hidden="1" x14ac:dyDescent="0.25">
      <c r="B76" s="382"/>
      <c r="C76" s="383"/>
      <c r="D76" s="239" t="s">
        <v>325</v>
      </c>
      <c r="E76" s="236"/>
      <c r="F76" s="237"/>
      <c r="G76" s="236"/>
      <c r="H76" s="236"/>
    </row>
    <row r="77" spans="2:9" hidden="1" x14ac:dyDescent="0.25">
      <c r="B77" s="382"/>
      <c r="C77" s="383"/>
      <c r="D77" s="239" t="s">
        <v>326</v>
      </c>
      <c r="E77" s="236"/>
      <c r="F77" s="237"/>
      <c r="G77" s="236"/>
      <c r="H77" s="236"/>
    </row>
    <row r="78" spans="2:9" ht="25.5" x14ac:dyDescent="0.25">
      <c r="B78" s="379" t="s">
        <v>338</v>
      </c>
      <c r="C78" s="239"/>
      <c r="D78" s="239" t="s">
        <v>340</v>
      </c>
      <c r="E78" s="236"/>
      <c r="F78" s="237"/>
      <c r="G78" s="236"/>
      <c r="H78" s="236"/>
    </row>
    <row r="79" spans="2:9" x14ac:dyDescent="0.25">
      <c r="B79" s="380"/>
      <c r="C79" s="239"/>
      <c r="D79" s="239" t="s">
        <v>339</v>
      </c>
      <c r="E79" s="236"/>
      <c r="F79" s="236"/>
      <c r="G79" s="236"/>
      <c r="H79" s="237"/>
    </row>
    <row r="80" spans="2:9" x14ac:dyDescent="0.25">
      <c r="B80" s="380"/>
      <c r="C80" s="247"/>
      <c r="D80" s="247" t="s">
        <v>341</v>
      </c>
      <c r="E80" s="236"/>
      <c r="F80" s="236"/>
      <c r="G80" s="236"/>
      <c r="H80" s="237"/>
    </row>
    <row r="81" spans="2:9" ht="89.25" x14ac:dyDescent="0.25">
      <c r="B81" s="381"/>
      <c r="C81" s="239"/>
      <c r="D81" s="239" t="s">
        <v>345</v>
      </c>
      <c r="E81" s="236">
        <v>15</v>
      </c>
      <c r="F81" s="236">
        <v>80</v>
      </c>
      <c r="G81" s="236">
        <f>+F81+E81</f>
        <v>95</v>
      </c>
      <c r="H81" s="237">
        <f>+F81/G81</f>
        <v>0.84210526315789469</v>
      </c>
      <c r="I81">
        <f>+$C$113*H81</f>
        <v>6556.3121183494759</v>
      </c>
    </row>
    <row r="82" spans="2:9" x14ac:dyDescent="0.25">
      <c r="B82" s="240" t="s">
        <v>309</v>
      </c>
      <c r="C82" s="240"/>
      <c r="D82" s="240"/>
      <c r="E82" s="240">
        <v>360</v>
      </c>
      <c r="F82" s="240">
        <f>+F68*65%</f>
        <v>598</v>
      </c>
      <c r="G82" s="240">
        <f>+F82+E82</f>
        <v>958</v>
      </c>
      <c r="H82" s="241">
        <f>+E82/G82</f>
        <v>0.37578288100208768</v>
      </c>
    </row>
    <row r="83" spans="2:9" ht="30" x14ac:dyDescent="0.25">
      <c r="B83" s="235" t="s">
        <v>331</v>
      </c>
      <c r="C83" s="240"/>
      <c r="D83" s="240"/>
      <c r="E83" s="240"/>
      <c r="F83" s="241"/>
      <c r="G83" s="240"/>
      <c r="H83" s="240"/>
    </row>
    <row r="84" spans="2:9" x14ac:dyDescent="0.25">
      <c r="B84" s="235" t="s">
        <v>332</v>
      </c>
      <c r="C84" s="240"/>
      <c r="D84" s="240"/>
      <c r="E84" s="240"/>
      <c r="F84" s="241"/>
      <c r="G84" s="240"/>
      <c r="H84" s="240"/>
    </row>
    <row r="85" spans="2:9" x14ac:dyDescent="0.25">
      <c r="B85" s="235" t="s">
        <v>333</v>
      </c>
      <c r="C85" s="240"/>
      <c r="D85" s="240"/>
      <c r="E85" s="240"/>
      <c r="F85" s="241"/>
      <c r="G85" s="240"/>
      <c r="H85" s="240"/>
    </row>
    <row r="86" spans="2:9" ht="30" x14ac:dyDescent="0.25">
      <c r="B86" s="235" t="s">
        <v>334</v>
      </c>
      <c r="C86" s="240"/>
      <c r="D86" s="240"/>
      <c r="E86" s="240"/>
      <c r="F86" s="241"/>
      <c r="G86" s="240"/>
      <c r="H86" s="240"/>
    </row>
    <row r="87" spans="2:9" ht="30" x14ac:dyDescent="0.25">
      <c r="B87" s="235" t="s">
        <v>335</v>
      </c>
      <c r="C87" s="240"/>
      <c r="D87" s="240"/>
      <c r="E87" s="240"/>
      <c r="F87" s="241"/>
      <c r="G87" s="240"/>
      <c r="H87" s="240"/>
    </row>
    <row r="88" spans="2:9" x14ac:dyDescent="0.25">
      <c r="B88" s="235" t="s">
        <v>336</v>
      </c>
      <c r="C88" s="240"/>
      <c r="D88" s="240"/>
      <c r="E88" s="240"/>
      <c r="F88" s="241"/>
      <c r="G88" s="240"/>
      <c r="H88" s="240"/>
    </row>
    <row r="89" spans="2:9" x14ac:dyDescent="0.25">
      <c r="B89" s="213" t="s">
        <v>295</v>
      </c>
      <c r="C89" s="213"/>
      <c r="D89" s="213"/>
      <c r="E89" s="213">
        <v>59</v>
      </c>
      <c r="F89" s="213">
        <v>236</v>
      </c>
      <c r="G89" s="213">
        <f>+F89+E89</f>
        <v>295</v>
      </c>
      <c r="H89" s="214">
        <f>+F89/G89</f>
        <v>0.8</v>
      </c>
    </row>
    <row r="90" spans="2:9" ht="75" x14ac:dyDescent="0.25">
      <c r="B90" s="244" t="s">
        <v>327</v>
      </c>
      <c r="C90" s="213"/>
      <c r="D90" s="213"/>
      <c r="E90" s="213"/>
      <c r="F90" s="261"/>
      <c r="G90" s="213"/>
      <c r="H90" s="213"/>
    </row>
    <row r="91" spans="2:9" ht="45" x14ac:dyDescent="0.25">
      <c r="B91" s="244" t="s">
        <v>328</v>
      </c>
      <c r="C91" s="213"/>
      <c r="D91" s="213"/>
      <c r="E91" s="213"/>
      <c r="F91" s="214"/>
      <c r="G91" s="213"/>
      <c r="H91" s="213"/>
    </row>
    <row r="92" spans="2:9" ht="45" x14ac:dyDescent="0.25">
      <c r="B92" s="244" t="s">
        <v>329</v>
      </c>
      <c r="C92" s="213"/>
      <c r="D92" s="213"/>
      <c r="E92" s="213"/>
      <c r="F92" s="214"/>
      <c r="G92" s="213"/>
      <c r="H92" s="213"/>
    </row>
    <row r="93" spans="2:9" ht="45" x14ac:dyDescent="0.25">
      <c r="B93" s="244" t="s">
        <v>330</v>
      </c>
      <c r="C93" s="213"/>
      <c r="D93" s="213"/>
      <c r="E93" s="213"/>
      <c r="F93" s="214"/>
      <c r="G93" s="213"/>
      <c r="H93" s="213"/>
    </row>
    <row r="94" spans="2:9" x14ac:dyDescent="0.25">
      <c r="B94" s="213"/>
      <c r="C94" s="213"/>
      <c r="D94" s="213"/>
      <c r="E94" s="213"/>
      <c r="F94" s="214"/>
      <c r="G94" s="213"/>
      <c r="H94" s="213"/>
    </row>
    <row r="95" spans="2:9" x14ac:dyDescent="0.25">
      <c r="B95" s="242" t="s">
        <v>349</v>
      </c>
      <c r="C95" s="242"/>
      <c r="D95" s="242"/>
      <c r="E95" s="242"/>
      <c r="F95" s="242"/>
      <c r="G95" s="242">
        <f>+D95+C95</f>
        <v>0</v>
      </c>
      <c r="H95" s="243">
        <v>0.5</v>
      </c>
    </row>
    <row r="96" spans="2:9" x14ac:dyDescent="0.25">
      <c r="C96" t="s">
        <v>296</v>
      </c>
      <c r="E96" t="s">
        <v>297</v>
      </c>
      <c r="F96" s="204"/>
    </row>
    <row r="97" spans="2:16" x14ac:dyDescent="0.25">
      <c r="B97" s="215" t="s">
        <v>310</v>
      </c>
      <c r="C97" s="228">
        <f>+C63</f>
        <v>129760.34400900005</v>
      </c>
      <c r="D97" s="216">
        <v>1</v>
      </c>
      <c r="E97" s="215">
        <v>20000</v>
      </c>
    </row>
    <row r="98" spans="2:16" x14ac:dyDescent="0.25">
      <c r="B98" s="215" t="s">
        <v>293</v>
      </c>
      <c r="C98" s="226">
        <f>+C97*D98</f>
        <v>51904.137603600022</v>
      </c>
      <c r="D98" s="216">
        <v>0.4</v>
      </c>
      <c r="E98" s="215">
        <v>0</v>
      </c>
    </row>
    <row r="99" spans="2:16" x14ac:dyDescent="0.25">
      <c r="B99" s="215" t="s">
        <v>294</v>
      </c>
      <c r="C99" s="226">
        <f>+C97*D99</f>
        <v>38928.103202700011</v>
      </c>
      <c r="D99" s="216">
        <v>0.3</v>
      </c>
      <c r="E99" s="215">
        <v>0</v>
      </c>
    </row>
    <row r="100" spans="2:16" x14ac:dyDescent="0.25">
      <c r="B100" s="215" t="s">
        <v>311</v>
      </c>
      <c r="C100" s="226">
        <f>+C97*D100</f>
        <v>12976.034400900005</v>
      </c>
      <c r="D100" s="216">
        <v>0.1</v>
      </c>
      <c r="E100" s="215">
        <v>0</v>
      </c>
    </row>
    <row r="101" spans="2:16" x14ac:dyDescent="0.25">
      <c r="B101" s="215" t="s">
        <v>295</v>
      </c>
      <c r="C101" s="226">
        <f>+C97*D101</f>
        <v>19464.051601350006</v>
      </c>
      <c r="D101" s="216">
        <v>0.15</v>
      </c>
      <c r="E101" s="215">
        <v>0</v>
      </c>
    </row>
    <row r="102" spans="2:16" x14ac:dyDescent="0.25">
      <c r="B102" s="215" t="s">
        <v>312</v>
      </c>
      <c r="C102" s="226">
        <f>+C97*D102</f>
        <v>6488.0172004500027</v>
      </c>
      <c r="D102" s="216">
        <v>0.05</v>
      </c>
      <c r="E102" s="215">
        <v>0</v>
      </c>
    </row>
    <row r="103" spans="2:16" x14ac:dyDescent="0.25">
      <c r="C103" s="153">
        <f>SUM(C98:C102)</f>
        <v>129760.34400900005</v>
      </c>
      <c r="E103">
        <f>SUM(E98:E102)</f>
        <v>0</v>
      </c>
    </row>
    <row r="104" spans="2:16" x14ac:dyDescent="0.25">
      <c r="C104" s="245" t="s">
        <v>313</v>
      </c>
      <c r="D104" s="245"/>
      <c r="E104" s="245"/>
      <c r="F104" s="377"/>
      <c r="G104" s="377"/>
      <c r="H104" s="377"/>
      <c r="I104" s="377"/>
      <c r="J104" s="377"/>
      <c r="K104" s="229"/>
      <c r="L104" s="229"/>
      <c r="M104" s="229"/>
      <c r="N104" s="229"/>
      <c r="O104" s="229"/>
      <c r="P104" s="229"/>
    </row>
    <row r="105" spans="2:16" x14ac:dyDescent="0.25">
      <c r="B105" s="217" t="s">
        <v>310</v>
      </c>
      <c r="C105" s="218" t="s">
        <v>20</v>
      </c>
      <c r="D105" s="217" t="s">
        <v>306</v>
      </c>
      <c r="E105" s="217" t="s">
        <v>307</v>
      </c>
      <c r="F105" s="230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</row>
    <row r="106" spans="2:16" x14ac:dyDescent="0.25">
      <c r="B106" s="219" t="s">
        <v>293</v>
      </c>
      <c r="C106" s="220">
        <f>+C98</f>
        <v>51904.137603600022</v>
      </c>
      <c r="D106" s="220">
        <f>+C106-E106</f>
        <v>19639.403417578389</v>
      </c>
      <c r="E106" s="220">
        <f>+C106*H68</f>
        <v>32264.734186021633</v>
      </c>
      <c r="F106" s="229"/>
      <c r="G106" s="205"/>
      <c r="H106" s="205"/>
      <c r="I106" s="205"/>
      <c r="J106" s="205"/>
      <c r="K106" s="229"/>
      <c r="L106" s="229"/>
      <c r="M106" s="229"/>
      <c r="N106" s="229"/>
      <c r="O106" s="229"/>
      <c r="P106" s="229"/>
    </row>
    <row r="107" spans="2:16" x14ac:dyDescent="0.25">
      <c r="B107" s="219" t="s">
        <v>294</v>
      </c>
      <c r="C107" s="220">
        <f>+C99</f>
        <v>38928.103202700011</v>
      </c>
      <c r="D107" s="220">
        <f>+C107-E107</f>
        <v>22559.709513221507</v>
      </c>
      <c r="E107" s="220">
        <f>+I71+I72+I73+I74+I81</f>
        <v>16368.393689478504</v>
      </c>
      <c r="F107" s="229"/>
      <c r="G107" s="205"/>
      <c r="H107" s="205"/>
      <c r="I107" s="205"/>
      <c r="J107" s="205"/>
      <c r="K107" s="229"/>
      <c r="L107" s="229"/>
      <c r="M107" s="229"/>
      <c r="N107" s="229"/>
      <c r="O107" s="229"/>
      <c r="P107" s="229"/>
    </row>
    <row r="108" spans="2:16" s="222" customFormat="1" x14ac:dyDescent="0.25">
      <c r="B108" s="219" t="s">
        <v>311</v>
      </c>
      <c r="C108" s="220">
        <f>+C100</f>
        <v>12976.034400900005</v>
      </c>
      <c r="D108" s="220">
        <f>+C108-E108</f>
        <v>8099.862809747603</v>
      </c>
      <c r="E108" s="220">
        <f>+C108*H82</f>
        <v>4876.1715911524025</v>
      </c>
      <c r="F108" s="229"/>
      <c r="G108" s="205"/>
      <c r="H108" s="205"/>
      <c r="I108" s="205"/>
      <c r="J108" s="205"/>
      <c r="K108" s="231"/>
      <c r="L108" s="231"/>
      <c r="M108" s="231"/>
      <c r="N108" s="231"/>
      <c r="O108" s="231"/>
      <c r="P108" s="231"/>
    </row>
    <row r="109" spans="2:16" s="222" customFormat="1" x14ac:dyDescent="0.25">
      <c r="B109" s="219" t="s">
        <v>295</v>
      </c>
      <c r="C109" s="220">
        <f>+C101</f>
        <v>19464.051601350006</v>
      </c>
      <c r="D109" s="220">
        <f>+C109-E109</f>
        <v>3892.8103202700004</v>
      </c>
      <c r="E109" s="220">
        <f>+C109*H89</f>
        <v>15571.241281080005</v>
      </c>
      <c r="F109" s="229"/>
      <c r="G109" s="205"/>
      <c r="H109" s="205"/>
      <c r="I109" s="205"/>
      <c r="J109" s="205"/>
      <c r="K109" s="232"/>
      <c r="L109" s="232"/>
      <c r="M109" s="232"/>
      <c r="N109" s="232"/>
      <c r="O109" s="232"/>
      <c r="P109" s="232"/>
    </row>
    <row r="110" spans="2:16" s="222" customFormat="1" x14ac:dyDescent="0.25">
      <c r="B110" s="219" t="s">
        <v>312</v>
      </c>
      <c r="C110" s="220">
        <f>+C102</f>
        <v>6488.0172004500027</v>
      </c>
      <c r="D110" s="220">
        <f>+C110-E110</f>
        <v>3244.0086002250014</v>
      </c>
      <c r="E110" s="220">
        <f>+C110*H95</f>
        <v>3244.0086002250014</v>
      </c>
      <c r="F110" s="229"/>
      <c r="G110" s="205"/>
      <c r="H110" s="205"/>
      <c r="I110" s="205"/>
      <c r="J110" s="205"/>
      <c r="K110" s="229"/>
      <c r="L110" s="229"/>
      <c r="M110" s="229"/>
      <c r="N110" s="229"/>
      <c r="O110" s="229"/>
      <c r="P110" s="231"/>
    </row>
    <row r="111" spans="2:16" s="222" customFormat="1" x14ac:dyDescent="0.25">
      <c r="B111" s="217" t="s">
        <v>20</v>
      </c>
      <c r="C111" s="221">
        <f>SUM(C106:C110)</f>
        <v>129760.34400900005</v>
      </c>
      <c r="D111" s="221">
        <f>SUM(D106:D110)</f>
        <v>57435.794661042499</v>
      </c>
      <c r="E111" s="221">
        <f>SUM(E106:E110)</f>
        <v>72324.549347957553</v>
      </c>
      <c r="F111" s="229"/>
      <c r="G111" s="229"/>
      <c r="H111" s="229"/>
      <c r="I111" s="205"/>
      <c r="J111" s="205"/>
      <c r="K111" s="232"/>
      <c r="L111" s="232"/>
      <c r="M111" s="232"/>
      <c r="N111" s="232"/>
      <c r="O111" s="232"/>
      <c r="P111" s="232"/>
    </row>
    <row r="112" spans="2:16" s="222" customFormat="1" x14ac:dyDescent="0.25"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4"/>
    </row>
    <row r="113" spans="1:6" s="222" customFormat="1" x14ac:dyDescent="0.25">
      <c r="C113" s="248">
        <f>+C107/5</f>
        <v>7785.6206405400026</v>
      </c>
      <c r="E113" s="248"/>
      <c r="F113" s="225"/>
    </row>
    <row r="114" spans="1:6" x14ac:dyDescent="0.25">
      <c r="A114" s="222"/>
    </row>
    <row r="116" spans="1:6" x14ac:dyDescent="0.25">
      <c r="B116" t="s">
        <v>379</v>
      </c>
    </row>
    <row r="117" spans="1:6" x14ac:dyDescent="0.25">
      <c r="B117">
        <v>3000</v>
      </c>
      <c r="C117" t="s">
        <v>380</v>
      </c>
    </row>
    <row r="118" spans="1:6" x14ac:dyDescent="0.25">
      <c r="B118" s="153">
        <f>+D111-B117</f>
        <v>54435.794661042499</v>
      </c>
      <c r="C118" t="s">
        <v>381</v>
      </c>
    </row>
    <row r="119" spans="1:6" x14ac:dyDescent="0.25">
      <c r="B119" t="s">
        <v>382</v>
      </c>
    </row>
  </sheetData>
  <mergeCells count="8">
    <mergeCell ref="F104:H104"/>
    <mergeCell ref="I104:J104"/>
    <mergeCell ref="D2:E2"/>
    <mergeCell ref="B78:B81"/>
    <mergeCell ref="B72:B74"/>
    <mergeCell ref="C73:C74"/>
    <mergeCell ref="B75:B77"/>
    <mergeCell ref="C75:C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F1" sqref="F1"/>
    </sheetView>
  </sheetViews>
  <sheetFormatPr baseColWidth="10" defaultRowHeight="15" x14ac:dyDescent="0.25"/>
  <sheetData>
    <row r="3" spans="4:7" x14ac:dyDescent="0.25">
      <c r="E3" t="s">
        <v>244</v>
      </c>
      <c r="F3" t="s">
        <v>245</v>
      </c>
      <c r="G3" t="s">
        <v>246</v>
      </c>
    </row>
    <row r="4" spans="4:7" x14ac:dyDescent="0.25">
      <c r="D4" t="s">
        <v>243</v>
      </c>
      <c r="E4">
        <v>5</v>
      </c>
      <c r="F4">
        <v>1</v>
      </c>
      <c r="G4">
        <v>0.05</v>
      </c>
    </row>
    <row r="5" spans="4:7" x14ac:dyDescent="0.25">
      <c r="D5" t="s">
        <v>247</v>
      </c>
    </row>
    <row r="11" spans="4:7" x14ac:dyDescent="0.25">
      <c r="D11" t="s">
        <v>248</v>
      </c>
    </row>
    <row r="29" spans="1:4" x14ac:dyDescent="0.25">
      <c r="A29" t="s">
        <v>306</v>
      </c>
      <c r="D29" t="s">
        <v>307</v>
      </c>
    </row>
    <row r="30" spans="1:4" x14ac:dyDescent="0.25">
      <c r="A30" s="193">
        <v>25710.46</v>
      </c>
      <c r="B30" s="193"/>
      <c r="C30" s="193"/>
      <c r="D30" s="193">
        <v>27129.58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F12" sqref="F12:G14"/>
    </sheetView>
  </sheetViews>
  <sheetFormatPr baseColWidth="10" defaultRowHeight="15" x14ac:dyDescent="0.25"/>
  <sheetData>
    <row r="12" spans="6:7" x14ac:dyDescent="0.25">
      <c r="F12">
        <v>1150</v>
      </c>
      <c r="G12" s="153">
        <f>+F12/1.12</f>
        <v>1026.7857142857142</v>
      </c>
    </row>
    <row r="13" spans="6:7" x14ac:dyDescent="0.25">
      <c r="G13" s="153">
        <f>+F12-G12</f>
        <v>123.21428571428578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GASTOS</vt:lpstr>
      <vt:lpstr>DISTRIBUTIVO</vt:lpstr>
      <vt:lpstr>PARTICIPATIVO</vt:lpstr>
      <vt:lpstr>Hoja2</vt:lpstr>
      <vt:lpstr>Hoja3</vt:lpstr>
      <vt:lpstr>Hoja1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Jaime</cp:lastModifiedBy>
  <cp:lastPrinted>2015-09-25T15:40:28Z</cp:lastPrinted>
  <dcterms:created xsi:type="dcterms:W3CDTF">2010-08-18T18:51:53Z</dcterms:created>
  <dcterms:modified xsi:type="dcterms:W3CDTF">2016-01-26T17:08:01Z</dcterms:modified>
</cp:coreProperties>
</file>