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DPrincipal\Documents\PRESUPUESTO 2022\"/>
    </mc:Choice>
  </mc:AlternateContent>
  <bookViews>
    <workbookView xWindow="0" yWindow="0" windowWidth="20400" windowHeight="7656" tabRatio="733"/>
  </bookViews>
  <sheets>
    <sheet name="INGRESOS" sheetId="4" r:id="rId1"/>
    <sheet name="GASTOS" sheetId="2" r:id="rId2"/>
    <sheet name="DISTRIBUTIVO" sheetId="5" r:id="rId3"/>
    <sheet name="PARTICIPATIVO" sheetId="7" r:id="rId4"/>
    <sheet name="Hoja2" sheetId="8" r:id="rId5"/>
    <sheet name="Hoja3" sheetId="9" r:id="rId6"/>
    <sheet name="INGRESOS 2019" sheetId="12" r:id="rId7"/>
    <sheet name="GASTOS 2019" sheetId="10" r:id="rId8"/>
  </sheets>
  <externalReferences>
    <externalReference r:id="rId9"/>
    <externalReference r:id="rId10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2">DISTRIBUTIVO!$B$1:$J$51</definedName>
    <definedName name="_xlnm.Print_Area" localSheetId="1">GASTOS!$A$1:$E$233</definedName>
    <definedName name="_xlnm.Print_Area" localSheetId="0">INGRESOS!$A$9:$I$71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62913"/>
</workbook>
</file>

<file path=xl/calcChain.xml><?xml version="1.0" encoding="utf-8"?>
<calcChain xmlns="http://schemas.openxmlformats.org/spreadsheetml/2006/main">
  <c r="J41" i="4" l="1"/>
  <c r="J40" i="4"/>
  <c r="J39" i="4"/>
  <c r="J49" i="4"/>
  <c r="D246" i="2"/>
  <c r="E245" i="2"/>
  <c r="E270" i="2"/>
  <c r="E88" i="2"/>
  <c r="D109" i="2"/>
  <c r="D91" i="2"/>
  <c r="D90" i="2"/>
  <c r="D94" i="2"/>
  <c r="D95" i="2"/>
  <c r="D93" i="2"/>
  <c r="D98" i="2"/>
  <c r="D97" i="2"/>
  <c r="D89" i="2"/>
  <c r="D9" i="2"/>
  <c r="D8" i="2"/>
  <c r="D12" i="2"/>
  <c r="D13" i="2"/>
  <c r="D11" i="2"/>
  <c r="D24" i="2"/>
  <c r="D25" i="2"/>
  <c r="D23" i="2"/>
  <c r="D7" i="2"/>
  <c r="D33" i="2"/>
  <c r="D34" i="2"/>
  <c r="D35" i="2"/>
  <c r="D36" i="2"/>
  <c r="D31" i="2"/>
  <c r="D45" i="2"/>
  <c r="D46" i="2"/>
  <c r="D44" i="2"/>
  <c r="D49" i="2"/>
  <c r="D48" i="2"/>
  <c r="D52" i="2"/>
  <c r="D51" i="2"/>
  <c r="D59" i="2"/>
  <c r="D61" i="2"/>
  <c r="D58" i="2"/>
  <c r="D30" i="2"/>
  <c r="D65" i="2"/>
  <c r="D66" i="2"/>
  <c r="D64" i="2"/>
  <c r="D63" i="2"/>
  <c r="D74" i="2"/>
  <c r="D73" i="2"/>
  <c r="D68" i="2"/>
  <c r="E5" i="2"/>
  <c r="D249" i="2"/>
  <c r="J31" i="4"/>
  <c r="J36" i="4"/>
  <c r="J30" i="4"/>
  <c r="J29" i="4"/>
  <c r="D259" i="2"/>
  <c r="D263" i="2"/>
  <c r="D256" i="2"/>
  <c r="E255" i="2"/>
  <c r="O16" i="5"/>
  <c r="N16" i="5"/>
  <c r="D101" i="2"/>
  <c r="D83" i="2"/>
  <c r="E82" i="2"/>
  <c r="D202" i="2"/>
  <c r="D199" i="2"/>
  <c r="D196" i="2"/>
  <c r="D106" i="2"/>
  <c r="D220" i="2"/>
  <c r="D215" i="2"/>
  <c r="G21" i="5"/>
  <c r="F21" i="5"/>
  <c r="F28" i="5"/>
  <c r="E21" i="5"/>
  <c r="E12" i="5"/>
  <c r="D13" i="5"/>
  <c r="E13" i="5"/>
  <c r="D14" i="5"/>
  <c r="D15" i="5"/>
  <c r="E14" i="5"/>
  <c r="M6" i="4"/>
  <c r="N6" i="4"/>
  <c r="O6" i="4"/>
  <c r="J6" i="4"/>
  <c r="I30" i="4"/>
  <c r="I31" i="4"/>
  <c r="I27" i="4"/>
  <c r="L6" i="4"/>
  <c r="J34" i="4"/>
  <c r="D133" i="2"/>
  <c r="D176" i="2"/>
  <c r="D180" i="2"/>
  <c r="D177" i="2"/>
  <c r="H31" i="5"/>
  <c r="F31" i="5"/>
  <c r="F12" i="5"/>
  <c r="J12" i="5"/>
  <c r="F13" i="5"/>
  <c r="G28" i="5"/>
  <c r="H28" i="5"/>
  <c r="I28" i="5"/>
  <c r="J21" i="5"/>
  <c r="J28" i="5"/>
  <c r="E28" i="5"/>
  <c r="G31" i="5"/>
  <c r="I21" i="5"/>
  <c r="I31" i="5"/>
  <c r="J31" i="5"/>
  <c r="J32" i="5"/>
  <c r="E31" i="5"/>
  <c r="I12" i="5"/>
  <c r="I13" i="5"/>
  <c r="D77" i="2"/>
  <c r="D76" i="2"/>
  <c r="D236" i="2"/>
  <c r="D252" i="2"/>
  <c r="D238" i="2"/>
  <c r="D242" i="2"/>
  <c r="E241" i="2"/>
  <c r="D231" i="2"/>
  <c r="D230" i="2"/>
  <c r="E229" i="2"/>
  <c r="D153" i="2"/>
  <c r="D141" i="2"/>
  <c r="D137" i="2"/>
  <c r="C44" i="7"/>
  <c r="H16" i="5"/>
  <c r="H11" i="5"/>
  <c r="C21" i="7"/>
  <c r="J27" i="4"/>
  <c r="J26" i="4"/>
  <c r="J46" i="4"/>
  <c r="J45" i="4"/>
  <c r="J23" i="4"/>
  <c r="J22" i="4"/>
  <c r="G46" i="4"/>
  <c r="G45" i="4"/>
  <c r="G41" i="4"/>
  <c r="G40" i="4"/>
  <c r="G36" i="4"/>
  <c r="G34" i="4"/>
  <c r="G29" i="4"/>
  <c r="G27" i="4"/>
  <c r="G26" i="4"/>
  <c r="G6" i="4"/>
  <c r="F27" i="4"/>
  <c r="G23" i="4"/>
  <c r="I46" i="4"/>
  <c r="I45" i="4"/>
  <c r="I41" i="4"/>
  <c r="I40" i="4"/>
  <c r="I36" i="4"/>
  <c r="I34" i="4"/>
  <c r="I26" i="4"/>
  <c r="I23" i="4"/>
  <c r="I22" i="4"/>
  <c r="I29" i="4"/>
  <c r="I6" i="4"/>
  <c r="I39" i="4"/>
  <c r="I49" i="4"/>
  <c r="G39" i="4"/>
  <c r="D192" i="2"/>
  <c r="D191" i="2"/>
  <c r="D114" i="2"/>
  <c r="D113" i="2"/>
  <c r="N10" i="5"/>
  <c r="N11" i="5"/>
  <c r="L12" i="5"/>
  <c r="L16" i="5"/>
  <c r="L11" i="5"/>
  <c r="O11" i="5"/>
  <c r="C64" i="7"/>
  <c r="C8" i="8"/>
  <c r="C7" i="8"/>
  <c r="D183" i="2"/>
  <c r="C6" i="8"/>
  <c r="F21" i="8"/>
  <c r="F1" i="8"/>
  <c r="C11" i="8"/>
  <c r="C12" i="8"/>
  <c r="C14" i="8"/>
  <c r="C10" i="8"/>
  <c r="C9" i="8"/>
  <c r="C5" i="8"/>
  <c r="F22" i="8"/>
  <c r="C3" i="8"/>
  <c r="D207" i="2"/>
  <c r="D206" i="2"/>
  <c r="C41" i="4"/>
  <c r="E40" i="4"/>
  <c r="F40" i="4"/>
  <c r="S11" i="5"/>
  <c r="S12" i="5"/>
  <c r="I86" i="4"/>
  <c r="I84" i="4"/>
  <c r="I83" i="4"/>
  <c r="I81" i="4"/>
  <c r="I78" i="4"/>
  <c r="I76" i="4"/>
  <c r="D41" i="4"/>
  <c r="D40" i="4"/>
  <c r="C40" i="4"/>
  <c r="F36" i="4"/>
  <c r="E36" i="4"/>
  <c r="D36" i="4"/>
  <c r="C36" i="4"/>
  <c r="F34" i="4"/>
  <c r="E34" i="4"/>
  <c r="D34" i="4"/>
  <c r="C34" i="4"/>
  <c r="F31" i="4"/>
  <c r="E31" i="4"/>
  <c r="D31" i="4"/>
  <c r="C31" i="4"/>
  <c r="F26" i="4"/>
  <c r="E27" i="4"/>
  <c r="E26" i="4"/>
  <c r="D27" i="4"/>
  <c r="D26" i="4"/>
  <c r="C27" i="4"/>
  <c r="C26" i="4"/>
  <c r="F23" i="4"/>
  <c r="F22" i="4"/>
  <c r="E23" i="4"/>
  <c r="E22" i="4"/>
  <c r="D23" i="4"/>
  <c r="D22" i="4"/>
  <c r="C23" i="4"/>
  <c r="C22" i="4"/>
  <c r="F6" i="4"/>
  <c r="C30" i="4"/>
  <c r="C29" i="4"/>
  <c r="F30" i="4"/>
  <c r="F29" i="4"/>
  <c r="C45" i="7"/>
  <c r="E6" i="4"/>
  <c r="C6" i="4"/>
  <c r="E30" i="4"/>
  <c r="E29" i="4"/>
  <c r="I82" i="4"/>
  <c r="I87" i="4"/>
  <c r="I90" i="4"/>
  <c r="D30" i="4"/>
  <c r="D29" i="4"/>
  <c r="T11" i="5"/>
  <c r="S13" i="5"/>
  <c r="D6" i="4"/>
  <c r="C28" i="12"/>
  <c r="C27" i="12"/>
  <c r="D27" i="2"/>
  <c r="C26" i="10"/>
  <c r="C22" i="12"/>
  <c r="C21" i="12"/>
  <c r="C19" i="12"/>
  <c r="C16" i="12"/>
  <c r="C12" i="12"/>
  <c r="C11" i="12"/>
  <c r="C8" i="12"/>
  <c r="C7" i="12"/>
  <c r="C15" i="12"/>
  <c r="C31" i="12"/>
  <c r="C14" i="12"/>
  <c r="C6" i="12"/>
  <c r="D162" i="2"/>
  <c r="C56" i="7"/>
  <c r="E9" i="9"/>
  <c r="E3" i="9"/>
  <c r="C7" i="7"/>
  <c r="D170" i="2"/>
  <c r="D167" i="2"/>
  <c r="D150" i="2"/>
  <c r="D124" i="2"/>
  <c r="D121" i="2"/>
  <c r="D118" i="2"/>
  <c r="H39" i="5"/>
  <c r="F39" i="5"/>
  <c r="E39" i="5"/>
  <c r="I39" i="5"/>
  <c r="J39" i="5"/>
  <c r="D147" i="2"/>
  <c r="I16" i="5"/>
  <c r="C25" i="7"/>
  <c r="I11" i="5"/>
  <c r="H12" i="5"/>
  <c r="D185" i="2"/>
  <c r="C3" i="7"/>
  <c r="C8" i="7"/>
  <c r="C9" i="7"/>
  <c r="E88" i="7"/>
  <c r="L13" i="5"/>
  <c r="H13" i="5"/>
  <c r="G11" i="5"/>
  <c r="J11" i="5"/>
  <c r="C16" i="7"/>
  <c r="C22" i="7"/>
  <c r="D69" i="2"/>
  <c r="C77" i="7"/>
  <c r="E11" i="5"/>
  <c r="C12" i="7"/>
  <c r="C4" i="7"/>
  <c r="C80" i="7"/>
  <c r="C81" i="7"/>
  <c r="C13" i="8"/>
  <c r="C15" i="8"/>
  <c r="F17" i="8"/>
  <c r="C6" i="7"/>
  <c r="G101" i="7"/>
  <c r="H101" i="7"/>
  <c r="G94" i="7"/>
  <c r="H94" i="7"/>
  <c r="G93" i="7"/>
  <c r="H93" i="7"/>
  <c r="G92" i="7"/>
  <c r="H92" i="7"/>
  <c r="G91" i="7"/>
  <c r="H91" i="7"/>
  <c r="C2" i="7"/>
  <c r="G115" i="7"/>
  <c r="G109" i="7"/>
  <c r="H109" i="7"/>
  <c r="F89" i="7"/>
  <c r="F88" i="7"/>
  <c r="F102" i="7"/>
  <c r="E4" i="7"/>
  <c r="G89" i="7"/>
  <c r="H89" i="7"/>
  <c r="G102" i="7"/>
  <c r="H102" i="7"/>
  <c r="G88" i="7"/>
  <c r="H88" i="7"/>
  <c r="E123" i="7"/>
  <c r="C24" i="7"/>
  <c r="G12" i="5"/>
  <c r="G13" i="5"/>
  <c r="G14" i="5"/>
  <c r="G15" i="5"/>
  <c r="G16" i="5"/>
  <c r="D38" i="2"/>
  <c r="E45" i="5"/>
  <c r="P42" i="5"/>
  <c r="G42" i="5"/>
  <c r="O42" i="5"/>
  <c r="O32" i="5"/>
  <c r="P32" i="5"/>
  <c r="O28" i="5"/>
  <c r="P28" i="5"/>
  <c r="N42" i="5"/>
  <c r="N28" i="5"/>
  <c r="M28" i="5"/>
  <c r="K51" i="5"/>
  <c r="I42" i="5"/>
  <c r="H42" i="5"/>
  <c r="E42" i="5"/>
  <c r="D28" i="5"/>
  <c r="P17" i="5"/>
  <c r="P16" i="5"/>
  <c r="F16" i="5"/>
  <c r="C17" i="7"/>
  <c r="E16" i="5"/>
  <c r="P15" i="5"/>
  <c r="P14" i="5"/>
  <c r="P13" i="5"/>
  <c r="P12" i="5"/>
  <c r="F11" i="5"/>
  <c r="C15" i="7"/>
  <c r="M18" i="5"/>
  <c r="D18" i="2"/>
  <c r="F42" i="5"/>
  <c r="P18" i="5"/>
  <c r="L28" i="5"/>
  <c r="J42" i="5"/>
  <c r="D15" i="2"/>
  <c r="P43" i="5"/>
  <c r="O43" i="5"/>
  <c r="N43" i="5"/>
  <c r="J43" i="5"/>
  <c r="I43" i="5"/>
  <c r="H43" i="5"/>
  <c r="G43" i="5"/>
  <c r="F43" i="5"/>
  <c r="E43" i="5"/>
  <c r="M42" i="5"/>
  <c r="L42" i="5"/>
  <c r="L43" i="5"/>
  <c r="P33" i="5"/>
  <c r="M33" i="5"/>
  <c r="N32" i="5"/>
  <c r="I32" i="5"/>
  <c r="H32" i="5"/>
  <c r="G32" i="5"/>
  <c r="F32" i="5"/>
  <c r="E32" i="5"/>
  <c r="P51" i="5"/>
  <c r="M43" i="5"/>
  <c r="M51" i="5"/>
  <c r="D54" i="2"/>
  <c r="C117" i="7"/>
  <c r="C119" i="7"/>
  <c r="C127" i="7"/>
  <c r="C133" i="7"/>
  <c r="C121" i="7"/>
  <c r="C129" i="7"/>
  <c r="E129" i="7"/>
  <c r="D129" i="7"/>
  <c r="C120" i="7"/>
  <c r="C128" i="7"/>
  <c r="E128" i="7"/>
  <c r="D128" i="7"/>
  <c r="C118" i="7"/>
  <c r="C126" i="7"/>
  <c r="E126" i="7"/>
  <c r="D126" i="7"/>
  <c r="C122" i="7"/>
  <c r="C130" i="7"/>
  <c r="E130" i="7"/>
  <c r="D130" i="7"/>
  <c r="I93" i="7"/>
  <c r="I94" i="7"/>
  <c r="I92" i="7"/>
  <c r="I101" i="7"/>
  <c r="I91" i="7"/>
  <c r="C131" i="7"/>
  <c r="C123" i="7"/>
  <c r="E127" i="7"/>
  <c r="E131" i="7"/>
  <c r="D127" i="7"/>
  <c r="D131" i="7"/>
  <c r="B138" i="7"/>
  <c r="I52" i="4"/>
  <c r="D214" i="2"/>
  <c r="E212" i="2"/>
  <c r="E235" i="2"/>
  <c r="J52" i="4"/>
  <c r="F16" i="8"/>
  <c r="D195" i="2"/>
  <c r="C13" i="7"/>
  <c r="E18" i="5"/>
  <c r="C20" i="7"/>
  <c r="E15" i="5"/>
  <c r="F15" i="5"/>
  <c r="I15" i="5"/>
  <c r="L15" i="5"/>
  <c r="O15" i="5"/>
  <c r="N15" i="5"/>
  <c r="H15" i="5"/>
  <c r="J13" i="5"/>
  <c r="C18" i="7"/>
  <c r="J16" i="5"/>
  <c r="D18" i="5"/>
  <c r="G18" i="5"/>
  <c r="N14" i="5"/>
  <c r="L14" i="5"/>
  <c r="I14" i="5"/>
  <c r="C26" i="7"/>
  <c r="H14" i="5"/>
  <c r="F14" i="5"/>
  <c r="C19" i="7"/>
  <c r="D117" i="2"/>
  <c r="E112" i="2"/>
  <c r="D161" i="2"/>
  <c r="E160" i="2"/>
  <c r="E190" i="2"/>
  <c r="D146" i="2"/>
  <c r="E131" i="2"/>
  <c r="E175" i="2"/>
  <c r="D132" i="2"/>
  <c r="C23" i="7"/>
  <c r="H18" i="5"/>
  <c r="F18" i="5"/>
  <c r="I18" i="5"/>
  <c r="J15" i="5"/>
  <c r="L18" i="5"/>
  <c r="L33" i="5"/>
  <c r="L51" i="5"/>
  <c r="O14" i="5"/>
  <c r="O18" i="5"/>
  <c r="O33" i="5"/>
  <c r="O51" i="5"/>
  <c r="N18" i="5"/>
  <c r="N33" i="5"/>
  <c r="N51" i="5"/>
  <c r="G33" i="5"/>
  <c r="G51" i="5"/>
  <c r="C14" i="7"/>
  <c r="C49" i="7"/>
  <c r="C51" i="7"/>
  <c r="J14" i="5"/>
  <c r="E33" i="5"/>
  <c r="E51" i="5"/>
  <c r="J18" i="5"/>
  <c r="J33" i="5"/>
  <c r="J51" i="5"/>
  <c r="I33" i="5"/>
  <c r="I51" i="5"/>
  <c r="F33" i="5"/>
  <c r="F51" i="5"/>
  <c r="D11" i="7"/>
  <c r="H33" i="5"/>
  <c r="H51" i="5"/>
  <c r="C50" i="7"/>
  <c r="C82" i="7"/>
  <c r="D84" i="7"/>
  <c r="C2" i="8"/>
  <c r="F18" i="8"/>
  <c r="D49" i="7"/>
  <c r="C52" i="4" l="1"/>
  <c r="F52" i="4"/>
  <c r="E52" i="4"/>
  <c r="D52" i="4"/>
  <c r="E39" i="4"/>
  <c r="E49" i="4"/>
  <c r="E46" i="4"/>
  <c r="E45" i="4"/>
  <c r="I43" i="4"/>
  <c r="F39" i="4"/>
  <c r="F49" i="4"/>
  <c r="F46" i="4"/>
  <c r="F45" i="4"/>
  <c r="I24" i="4"/>
  <c r="C49" i="4"/>
  <c r="C46" i="4"/>
  <c r="C45" i="4"/>
  <c r="C39" i="4"/>
  <c r="D45" i="4"/>
  <c r="D39" i="4"/>
  <c r="D49" i="4"/>
  <c r="D46" i="4"/>
</calcChain>
</file>

<file path=xl/comments1.xml><?xml version="1.0" encoding="utf-8"?>
<comments xmlns="http://schemas.openxmlformats.org/spreadsheetml/2006/main">
  <authors>
    <author>GAD Principal</author>
    <author>usuario</author>
    <author>USUARIO</author>
    <author>COMPUSTORE</author>
  </authors>
  <commentList>
    <comment ref="L6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PRESUPUESTO TOAL MINISTERIO DE FINANZAS
</t>
        </r>
      </text>
    </comment>
    <comment ref="J2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Convenio MIES monto basado en el convenio Atencion domiciliaria al adulto mayor 
año 2021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BASADO EN LA RECEPCION AÑO 2021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MANTENIMIENTO VIAL 2021 Y PRESUPUESTO PARTICIPATIVO DE LA PREFECTURA DEL AZUAY 2022
Y ARRTASRE DE RECURSOS DE RETROEXCAVADORA
</t>
        </r>
      </text>
    </comment>
    <comment ref="J37" authorId="2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IVA 2021 y valor pendiente por cobrar 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BASADO EN EL 2021
, CONVENIO CON LA PREFECTURA PARA TALLERES COMUNITARIOS TEMA DEL SOMBRERO ADQUISICON MAQUINARIA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ALICUOTA MES DE DICIEBRE 2021
</t>
        </r>
      </text>
    </comment>
    <comment ref="J51" authorId="3" shapeId="0">
      <text>
        <r>
          <rPr>
            <b/>
            <sz val="9"/>
            <color indexed="81"/>
            <rFont val="Tahoma"/>
            <family val="2"/>
          </rPr>
          <t>7793.90 de anticipos de siembra d eplantas MAE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GAD Principal</author>
  </authors>
  <commentList>
    <comment ref="D107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MANTENIMIENTO VIAL PREFECTURA DEL AZUAY 2021
</t>
        </r>
      </text>
    </comment>
    <comment ref="D200" authorId="0" shapeId="0">
      <text>
        <r>
          <rPr>
            <b/>
            <sz val="9"/>
            <color indexed="81"/>
            <rFont val="Tahoma"/>
            <family val="2"/>
          </rPr>
          <t xml:space="preserve">GAD PRINCIPAL
</t>
        </r>
        <r>
          <rPr>
            <sz val="9"/>
            <color indexed="81"/>
            <rFont val="Tahoma"/>
            <family val="2"/>
          </rPr>
          <t xml:space="preserve">Señalizacion vial.
Materiales para cancha deportiva Centro. 
</t>
        </r>
      </text>
    </comment>
    <comment ref="D225" authorId="0" shapeId="0">
      <text>
        <r>
          <rPr>
            <b/>
            <sz val="9"/>
            <color indexed="81"/>
            <rFont val="Tahoma"/>
            <family val="2"/>
          </rPr>
          <t>GAD Principal:</t>
        </r>
        <r>
          <rPr>
            <sz val="9"/>
            <color indexed="81"/>
            <rFont val="Tahoma"/>
            <family val="2"/>
          </rPr>
          <t xml:space="preserve">
PRESUPUESTO PARTICIPATIVO PREFECTURA DEL AZUAY 
$8813,46
GAD PARROQUIAL $4000,00
</t>
        </r>
      </text>
    </comment>
  </commentList>
</comments>
</file>

<file path=xl/comments3.xml><?xml version="1.0" encoding="utf-8"?>
<comments xmlns="http://schemas.openxmlformats.org/spreadsheetml/2006/main">
  <authors>
    <author>FEPP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FEPP:</t>
        </r>
        <r>
          <rPr>
            <sz val="9"/>
            <color indexed="81"/>
            <rFont val="Tahoma"/>
            <family val="2"/>
          </rPr>
          <t xml:space="preserve">
Espaldones o Muro en sector alizal 1.50*0.30*40
Alcantarillado sector Guacamullo en convenio con el municipio
Alquiler Maquinaria y equipos
Muro cancha El Remate
Mejoramiento graderio en Celel tras la Iglesia
Mano de obra
Materiales de construcción
Pago de predio
Ampliación Edificio parroquial
</t>
        </r>
      </text>
    </comment>
  </commentList>
</comments>
</file>

<file path=xl/sharedStrings.xml><?xml version="1.0" encoding="utf-8"?>
<sst xmlns="http://schemas.openxmlformats.org/spreadsheetml/2006/main" count="922" uniqueCount="587">
  <si>
    <t>T O T A L:</t>
  </si>
  <si>
    <t>SALDO EN CAJA Y BANCOS</t>
  </si>
  <si>
    <t>SALDOS DISPONIBLES</t>
  </si>
  <si>
    <t>INGRESO DE FINANCIAMIENTO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</si>
  <si>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</si>
  <si>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</si>
  <si>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</si>
  <si>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</si>
  <si>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</si>
  <si>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</si>
  <si>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</si>
  <si>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</si>
  <si>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</si>
  <si>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</si>
  <si>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C O N C E P T O</t>
  </si>
  <si>
    <t>CREDITOS</t>
  </si>
  <si>
    <t>TOTAL</t>
  </si>
  <si>
    <t>CARGO</t>
  </si>
  <si>
    <t>NOMBRES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</si>
  <si>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</si>
  <si>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</si>
  <si>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</si>
  <si>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</si>
  <si>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</si>
  <si>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</si>
  <si>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</si>
  <si>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</si>
  <si>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</si>
  <si>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</si>
  <si>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</si>
  <si>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</si>
  <si>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</si>
  <si>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</si>
  <si>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</si>
  <si>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</si>
  <si>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</si>
  <si>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</si>
  <si>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</si>
  <si>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</si>
  <si>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</si>
  <si>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</si>
  <si>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</si>
  <si>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</si>
  <si>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</si>
  <si>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</si>
  <si>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</si>
  <si>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</si>
  <si>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</si>
  <si>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</si>
  <si>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</si>
  <si>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</si>
  <si>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</si>
  <si>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</si>
  <si>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</si>
  <si>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</si>
  <si>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</si>
  <si>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</si>
  <si>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</si>
  <si>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</si>
  <si>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</si>
  <si>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</si>
  <si>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</si>
  <si>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</si>
  <si>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</si>
  <si>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</si>
  <si>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</si>
  <si>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</si>
  <si>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</si>
  <si>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</si>
  <si>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</si>
  <si>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</si>
  <si>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</si>
  <si>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5.3.02</t>
  </si>
  <si>
    <t>Servicios Generales</t>
  </si>
  <si>
    <t>5.3.02.07</t>
  </si>
  <si>
    <t>Difusión, Información y Publicidad</t>
  </si>
  <si>
    <t>5.3.02.99</t>
  </si>
  <si>
    <t>Otros Servicios</t>
  </si>
  <si>
    <t>5.3.03</t>
  </si>
  <si>
    <t>Traslados, Instalaciones, Viáticos y Subsistencias</t>
  </si>
  <si>
    <t>5.3.03.01</t>
  </si>
  <si>
    <t>Pasajes al Interior</t>
  </si>
  <si>
    <t>5.3.03.03</t>
  </si>
  <si>
    <t>Viáticos y Subsistencias en el interior</t>
  </si>
  <si>
    <t>5.3.06</t>
  </si>
  <si>
    <t>5.3.07</t>
  </si>
  <si>
    <t>Gastos en Informática</t>
  </si>
  <si>
    <t>5.3.07.04</t>
  </si>
  <si>
    <t>5.3.08</t>
  </si>
  <si>
    <t>Bienes de Uso y Consumo Corriente</t>
  </si>
  <si>
    <t>5.3.08.02</t>
  </si>
  <si>
    <t>5.3.08.04</t>
  </si>
  <si>
    <t>Materiales de Oficina</t>
  </si>
  <si>
    <t>5.3.08.05</t>
  </si>
  <si>
    <t>Materiales de Aseo</t>
  </si>
  <si>
    <t>5.7</t>
  </si>
  <si>
    <t>5.7.02</t>
  </si>
  <si>
    <t>Seguros, Costos Financieros y otros Gastos</t>
  </si>
  <si>
    <t>5.7.02.01</t>
  </si>
  <si>
    <t>5.3.02.04</t>
  </si>
  <si>
    <t>5.7.02.03</t>
  </si>
  <si>
    <t>Comisiones Bancarias</t>
  </si>
  <si>
    <t>7.1</t>
  </si>
  <si>
    <t>7.1.01</t>
  </si>
  <si>
    <t>7.1.01.05</t>
  </si>
  <si>
    <t>7.1.02</t>
  </si>
  <si>
    <t>7.1.02.03</t>
  </si>
  <si>
    <t>7.1.02.04</t>
  </si>
  <si>
    <t>7.1.05</t>
  </si>
  <si>
    <t>7.1.06</t>
  </si>
  <si>
    <t>7.1.06.01</t>
  </si>
  <si>
    <t>7.1.06.02</t>
  </si>
  <si>
    <t>7.3</t>
  </si>
  <si>
    <t>7.3.02</t>
  </si>
  <si>
    <t>Fletes y Maniobras</t>
  </si>
  <si>
    <t>7.3.05</t>
  </si>
  <si>
    <t>7.3.06</t>
  </si>
  <si>
    <t>7.3.08</t>
  </si>
  <si>
    <t>PROGRAMA</t>
  </si>
  <si>
    <t>Bienes de Uso y Consumo de Inversión</t>
  </si>
  <si>
    <t>5.8</t>
  </si>
  <si>
    <t>5.8.01</t>
  </si>
  <si>
    <t>Transferencias Corrientes al Sector Público</t>
  </si>
  <si>
    <t>Impuestos</t>
  </si>
  <si>
    <t>Tasas y Contribuciones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</si>
  <si>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</si>
  <si>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</si>
  <si>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</si>
  <si>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</si>
  <si>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</si>
  <si>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</si>
  <si>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</si>
  <si>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</si>
  <si>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</si>
  <si>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</si>
  <si>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</si>
  <si>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</si>
  <si>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</si>
  <si>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</si>
  <si>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</si>
  <si>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</si>
  <si>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</si>
  <si>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</si>
  <si>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</si>
  <si>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</si>
  <si>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</si>
  <si>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</si>
  <si>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</si>
  <si>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2.8.06</t>
  </si>
  <si>
    <t>APORTES Y PARTICIPACIONES DE CAPITAL E INVERSION DEL REGIMEN SECCIONAL AUTONOMO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</si>
  <si>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</si>
  <si>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</si>
  <si>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</si>
  <si>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</si>
  <si>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</si>
  <si>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</si>
  <si>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</si>
  <si>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</si>
  <si>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</si>
  <si>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</si>
  <si>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</si>
  <si>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</si>
  <si>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</si>
  <si>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</si>
  <si>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</si>
  <si>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</si>
  <si>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</si>
  <si>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</si>
  <si>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</si>
  <si>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</si>
  <si>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</si>
  <si>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</si>
  <si>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1.8.06</t>
  </si>
  <si>
    <t>APORTES Y PARTICIPACIONES CORRIENTES DEL REGIMEN SECCIONAL AUTONOMO</t>
  </si>
  <si>
    <t>PRESIDENTE</t>
  </si>
  <si>
    <t>VOCAL 1</t>
  </si>
  <si>
    <t>VOCAL 2</t>
  </si>
  <si>
    <t>SECRETARIA TESORERA</t>
  </si>
  <si>
    <t>5.3.01.01</t>
  </si>
  <si>
    <t xml:space="preserve">FUNCION II </t>
  </si>
  <si>
    <t>TOTAL GENERAL AÑO 2012</t>
  </si>
  <si>
    <t>5.3.02.02</t>
  </si>
  <si>
    <t>Edición impresión reproduccion y publicaciones</t>
  </si>
  <si>
    <t>5.3.07.02</t>
  </si>
  <si>
    <t>Arrendamiento y Licencias de Uso de Paq. Inf</t>
  </si>
  <si>
    <t>Manten y Reparacion de Equipos y sist inform.</t>
  </si>
  <si>
    <t xml:space="preserve">Seguros </t>
  </si>
  <si>
    <t>5.8.04</t>
  </si>
  <si>
    <t>Aportes y Participaciones al Sector Público</t>
  </si>
  <si>
    <t>5.8.04.06</t>
  </si>
  <si>
    <t>Para el IECE por el 0.5% las aportaciones al IESS</t>
  </si>
  <si>
    <t>7.3.08.12</t>
  </si>
  <si>
    <t>GASTOS</t>
  </si>
  <si>
    <t>CODIGO</t>
  </si>
  <si>
    <t>GOBIERNO PARROQUIAL DE PRINCIPAL</t>
  </si>
  <si>
    <t>TOTAL PRESUPUESTO GASTOS</t>
  </si>
  <si>
    <t>De Fondos de Autogestion</t>
  </si>
  <si>
    <t>PRESIDENTE DEL GOBIERNO PARROQUIAL</t>
  </si>
  <si>
    <t>1.8.01.04</t>
  </si>
  <si>
    <t>De Gobiernos Autónomos Descentralizados</t>
  </si>
  <si>
    <t>5.3.04</t>
  </si>
  <si>
    <t>Otras instalaciones mantenimientos y reparaciones</t>
  </si>
  <si>
    <t>INGRESOS TOTALES</t>
  </si>
  <si>
    <t>Asignaciones del estado</t>
  </si>
  <si>
    <t>Ingresos Propios</t>
  </si>
  <si>
    <t>Uso cementerio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</si>
  <si>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</si>
  <si>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</si>
  <si>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</si>
  <si>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</si>
  <si>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</si>
  <si>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</si>
  <si>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</si>
  <si>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</si>
  <si>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</si>
  <si>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</si>
  <si>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</si>
  <si>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</si>
  <si>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</si>
  <si>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</si>
  <si>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</si>
  <si>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</si>
  <si>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</si>
  <si>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</si>
  <si>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</si>
  <si>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</si>
  <si>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</si>
  <si>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</si>
  <si>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</si>
  <si>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</si>
  <si>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</si>
  <si>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</si>
  <si>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</si>
  <si>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</si>
  <si>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</si>
  <si>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</si>
  <si>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</si>
  <si>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</si>
  <si>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</si>
  <si>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</si>
  <si>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deficit/superhabit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</si>
  <si>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</si>
  <si>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</si>
  <si>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</si>
  <si>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</si>
  <si>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</si>
  <si>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</si>
  <si>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</si>
  <si>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</si>
  <si>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</si>
  <si>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</si>
  <si>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</si>
  <si>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</si>
  <si>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</si>
  <si>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</si>
  <si>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</si>
  <si>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</si>
  <si>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</si>
  <si>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</si>
  <si>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</si>
  <si>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</si>
  <si>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</si>
  <si>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</si>
  <si>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</si>
  <si>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</si>
  <si>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</si>
  <si>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</si>
  <si>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</si>
  <si>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</si>
  <si>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</si>
  <si>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</si>
  <si>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</si>
  <si>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</si>
  <si>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</si>
  <si>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</si>
  <si>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</si>
  <si>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</si>
  <si>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</si>
  <si>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</si>
  <si>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</si>
  <si>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</si>
  <si>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</si>
  <si>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Servicios generales</t>
  </si>
  <si>
    <t>CUMPLIMIENTO DE METAS (50% CADA UNO)</t>
  </si>
  <si>
    <t>Indemnizacion por vacaciones no gozadas</t>
  </si>
  <si>
    <t>Décimo Cuarto vocales</t>
  </si>
  <si>
    <t>Arrendamiento de bienes</t>
  </si>
  <si>
    <t>Remuneraciones temporales</t>
  </si>
  <si>
    <t>7.3.04</t>
  </si>
  <si>
    <t>7.3.04.04</t>
  </si>
  <si>
    <t>Instalaciones, mantenimientos y reparaciones</t>
  </si>
  <si>
    <t>7.3.08.02</t>
  </si>
  <si>
    <t>7.3.08.03</t>
  </si>
  <si>
    <t>Bienes de uso y consumo de inversión</t>
  </si>
  <si>
    <t>3.7.01.02</t>
  </si>
  <si>
    <t>celel</t>
  </si>
  <si>
    <t>alquiler de maquinaria para apertura de via alisal alto</t>
  </si>
  <si>
    <t xml:space="preserve">cubierta cancha de uso multiple </t>
  </si>
  <si>
    <t>principal</t>
  </si>
  <si>
    <t>3.7.01.01</t>
  </si>
  <si>
    <t>De Fondos del Gobierno Central</t>
  </si>
  <si>
    <t>3.8.01.08</t>
  </si>
  <si>
    <t>Cuentas por cobrar</t>
  </si>
  <si>
    <t>De Anticipos de Fondos por Devengar</t>
  </si>
  <si>
    <t>2.08.01.01</t>
  </si>
  <si>
    <t>Del Gobierno central</t>
  </si>
  <si>
    <t>7.3.08.14.02</t>
  </si>
  <si>
    <t>PROYECTO</t>
  </si>
  <si>
    <t>Bienes y servicios para Inversión</t>
  </si>
  <si>
    <t>Contrataciones de estudios, investigaciones y servicios técnicos especializados</t>
  </si>
  <si>
    <t>Transferencias y donaciones</t>
  </si>
  <si>
    <t>Otros Gastos</t>
  </si>
  <si>
    <t>Bienes y servicios de consumo</t>
  </si>
  <si>
    <t>Gastos en el personal</t>
  </si>
  <si>
    <t>PARCIALES</t>
  </si>
  <si>
    <t>Conagopare  (3%)</t>
  </si>
  <si>
    <t>7.3.08.11</t>
  </si>
  <si>
    <t>3.7.01.99</t>
  </si>
  <si>
    <t xml:space="preserve">Saldo de Fondos GAD Municipal Alcantarillado </t>
  </si>
  <si>
    <t>arriendo licencia informatico y pagina web</t>
  </si>
  <si>
    <t>Identificar y construir equipamientos y mantener espacios públicos</t>
  </si>
  <si>
    <t>EQUIPAMIENTOS</t>
  </si>
  <si>
    <t>Convenios</t>
  </si>
  <si>
    <t>Servicio de internet</t>
  </si>
  <si>
    <t>FORTALECIMIENTO ECONOMICO DE LA PARROQUIA</t>
  </si>
  <si>
    <t>5.3.01.05.01</t>
  </si>
  <si>
    <t>5.3.01.05.02</t>
  </si>
  <si>
    <t>Telecomunicaciones (servicio telefonico)</t>
  </si>
  <si>
    <t>telecomunicaciones (Servicio de Internet)</t>
  </si>
  <si>
    <t>7</t>
  </si>
  <si>
    <t>GASTOS DE INVERSION</t>
  </si>
  <si>
    <t>BIENES Y SERVICIOS PARA INVERSION</t>
  </si>
  <si>
    <t>ARRENDAMIENTO DE BIENES</t>
  </si>
  <si>
    <t>Materiales didacticos</t>
  </si>
  <si>
    <t xml:space="preserve"> </t>
  </si>
  <si>
    <t>Vestuario, lensería, prendas de protección, accesorios para uniformes militares y policiales; y carpas (PONCHOS)</t>
  </si>
  <si>
    <t>7.3.02.05</t>
  </si>
  <si>
    <t>Insumos, bienes, materiales y suministros para la contrucción, eléctricos, plomería, carpintería,señalización víal, navegación y contra incendios (señalización de senderos en lugares turísticos).</t>
  </si>
  <si>
    <t>7.3.05.04</t>
  </si>
  <si>
    <t>Insumos, bienes, materiales y suministros para la contrucción, eléctricos, plomería, carpintería,señalización víal, navegación y contra incendios (materiales de construccion para el mentenimiento vial con la tas solidaria).</t>
  </si>
  <si>
    <t>TECNICO</t>
  </si>
  <si>
    <t xml:space="preserve">Combustibles y lubricantes </t>
  </si>
  <si>
    <t>Maquinarías y equipos (Instalación, mantenimiento y reparaciones)</t>
  </si>
  <si>
    <t>Bienes y servicios de inversión</t>
  </si>
  <si>
    <t>Gastos en personal para inversión</t>
  </si>
  <si>
    <t>INGRESOS AÑO 2017</t>
  </si>
  <si>
    <t>Plan Gestión vial</t>
  </si>
  <si>
    <t>Replantillo cancha uso multiple en Celel</t>
  </si>
  <si>
    <t>Adecuación cancha en Alizal</t>
  </si>
  <si>
    <t>Diseño de un producto de fortalecimiento para las actividades de Turismo Comunitario en Principal</t>
  </si>
  <si>
    <t>Recreación para el adulto mayor</t>
  </si>
  <si>
    <t>Parroquia Principal participa de su cambio</t>
  </si>
  <si>
    <t>Intercambio de saberes ancestrales</t>
  </si>
  <si>
    <t>Producción y cultivo de Frutas para elaboración de mermeladas</t>
  </si>
  <si>
    <t>Mantenimiento cementerio parroquial</t>
  </si>
  <si>
    <t>Asesoramiento técnico</t>
  </si>
  <si>
    <t>TOTAL INVERSION</t>
  </si>
  <si>
    <t>Limpieza y mantenimiento de la Infraestructura de la Parroquia Principal</t>
  </si>
  <si>
    <t>Espectáculos culturales y sociales por fiesta de la manzana</t>
  </si>
  <si>
    <t>Arrendamiento de Bienes</t>
  </si>
  <si>
    <t>Bienes de Uso y consumo de Inversión</t>
  </si>
  <si>
    <t>Herramientas</t>
  </si>
  <si>
    <t>7.3.08.14.01</t>
  </si>
  <si>
    <t>Insumos agrícolas</t>
  </si>
  <si>
    <t xml:space="preserve">Espacio recreativo inclusivo </t>
  </si>
  <si>
    <t>Subrogaciones</t>
  </si>
  <si>
    <t>Maquinaria y equipos</t>
  </si>
  <si>
    <t>5.1.05.12</t>
  </si>
  <si>
    <t>Subrogación</t>
  </si>
  <si>
    <t>GASTOS ESPECÍFICOS</t>
  </si>
  <si>
    <t xml:space="preserve"> INTERCAMBIO DE SABERES ANCESTRALES Y PROTECCION DE DERECHOS NIÑOS, NIÑAS, ADOLESCENTES Y PERSONAS CON DISCAPACIDAD</t>
  </si>
  <si>
    <t xml:space="preserve">PROGRAMA </t>
  </si>
  <si>
    <t>TURISMO EN PRINCIPAL</t>
  </si>
  <si>
    <t>PROYECTO:</t>
  </si>
  <si>
    <t>PLANIFICACION SECTORIAL</t>
  </si>
  <si>
    <t>PLAN DE GESTIÓN PARA LA RED VIAL</t>
  </si>
  <si>
    <t>PRODUCCION Y MANEJO DE FRUTAS PARA LA ELABORACION DE MERMELADAS</t>
  </si>
  <si>
    <t>Bienes y servicios para inversión</t>
  </si>
  <si>
    <t xml:space="preserve">Contratación de estudios, investigaciones y servicios técnicos especializados. </t>
  </si>
  <si>
    <t>ESTIMACION PROVISIONAL INGRESOS  AÑO 2018</t>
  </si>
  <si>
    <t>OTROS NO OPERACIONALES</t>
  </si>
  <si>
    <t>De Entidades del Gobierno Seccional</t>
  </si>
  <si>
    <t>2.8.10</t>
  </si>
  <si>
    <t>2.8.10.03</t>
  </si>
  <si>
    <t>Recuperación de IVA</t>
  </si>
  <si>
    <t>Honorarios contratos civiles (contadora)</t>
  </si>
  <si>
    <t>Computador de escritorio</t>
  </si>
  <si>
    <t>Vestuario lencería y prendas de protección</t>
  </si>
  <si>
    <t>Impresora chorro contínuo</t>
  </si>
  <si>
    <t>TOAL INVERSION</t>
  </si>
  <si>
    <t>PROYECTOS ESPECIFICOS</t>
  </si>
  <si>
    <t xml:space="preserve">TOTAL PROYECTOS ESPECIFICOS </t>
  </si>
  <si>
    <t>PROYECTOS PARTICIPACION CIUDADANA</t>
  </si>
  <si>
    <t>TOTAL PROYECTOS PARTICIPACION CIUDADANA</t>
  </si>
  <si>
    <t>GASTOS CORRIENTES</t>
  </si>
  <si>
    <t>GASTO DE INVERSION</t>
  </si>
  <si>
    <t>TOTAL GASTOS</t>
  </si>
  <si>
    <t>Vestuario, Lencería, Prendas de Protección; y, Accesorios para Uniformes Militares y Policiales; y, Carpas</t>
  </si>
  <si>
    <t>5.3.06.06</t>
  </si>
  <si>
    <t>Contratación de Estudios, Investigaciones y Servicios Técnicos Especializados.</t>
  </si>
  <si>
    <t>Honorarios por Contratos Civiles de Servicios</t>
  </si>
  <si>
    <t xml:space="preserve">FORTALECIMIENTO ORGANIZATIVO </t>
  </si>
  <si>
    <t>ATENCION A GRUPO VULNERABLES</t>
  </si>
  <si>
    <t>Vestuario Lencería, prendas de protección, carpas y otros (camisetas para eventos deportivos)</t>
  </si>
  <si>
    <t>Materiales didacticos (pepelería, balones, accesorios deportivos, etc.)</t>
  </si>
  <si>
    <t>ATENCION A GRUPOS VULNERABLES</t>
  </si>
  <si>
    <t>Espacios alternativos para atención del adulto mayor.</t>
  </si>
  <si>
    <t>Actualización de estudios de infraestructura física y normativa parrroquial.</t>
  </si>
  <si>
    <t>Identificar y Construir equipamientos y mantener espacios públicos.</t>
  </si>
  <si>
    <t>Fortalecimiento de la identidad cultural de la parroquia Principal</t>
  </si>
  <si>
    <t>Acompañamiento para el fortalecimiento organizativo y fomento de la participación ciudadana en la parroquia Principal.</t>
  </si>
  <si>
    <t>IDENTIFICAR Y CONSTRUIR EQUIPAMIENTOS Y MANTENER ESPACIOS PUBLICOS</t>
  </si>
  <si>
    <t xml:space="preserve"> DISEÑO DE UN PROYECTO DE FORTALECIMIENTO PARA LAS ACTIVIDADES DE TURISMO COMUNITARIO EN PRINCIPAL</t>
  </si>
  <si>
    <t>7.3.15.15</t>
  </si>
  <si>
    <t>7.3.06.01</t>
  </si>
  <si>
    <t>ALCANTARILLADO DE CELEL</t>
  </si>
  <si>
    <t>Plantas</t>
  </si>
  <si>
    <t>CORRIENTE</t>
  </si>
  <si>
    <t>ATENCION AL ADULTO MAYOR EN ESPACIOS ALTERNATIVOS</t>
  </si>
  <si>
    <t>EQUIPOS ELECTRONICOS PARA EL GAD</t>
  </si>
  <si>
    <t>ESTIMACION DE PRESPUESTO AÑO 2019</t>
  </si>
  <si>
    <t>ASESORAMIENTO TECNICO</t>
  </si>
  <si>
    <t>CONSULTORIA ESTUDIOS ELECTRICOS PLAZOLETA REMATE GAUSAL</t>
  </si>
  <si>
    <t>FORTALECIMIENTO DE LA IDENTIDAD CULTURAL</t>
  </si>
  <si>
    <t>ESTIMACION DE INGRESOS AÑO 2019</t>
  </si>
  <si>
    <t>ACOMPAÑAMIENTO PARA FORTALECIMIENTO ORGANIZATIVO Y FOMENTO DE LA PARTICIPACIÓN CIUDADANA EN LA PARROQUIA PRINCIPAL.</t>
  </si>
  <si>
    <t>convenio GAD Municipal</t>
  </si>
  <si>
    <t>cabaña, quingo</t>
  </si>
  <si>
    <t>2 microfonos y parlante</t>
  </si>
  <si>
    <t>tasa 2018 y 2019</t>
  </si>
  <si>
    <t>cementerio, veredas, paradas y espacios publicos</t>
  </si>
  <si>
    <t>Agua potable</t>
  </si>
  <si>
    <t>Fondo de reserva</t>
  </si>
  <si>
    <t>NO APLICA</t>
  </si>
  <si>
    <t>POLITICA</t>
  </si>
  <si>
    <t>01.06.09</t>
  </si>
  <si>
    <t>01.02.08</t>
  </si>
  <si>
    <t>01.02.11</t>
  </si>
  <si>
    <t>01.05.05</t>
  </si>
  <si>
    <t>01.07.08</t>
  </si>
  <si>
    <t>01.03.01</t>
  </si>
  <si>
    <t>01.03.08</t>
  </si>
  <si>
    <t>Indeminizaciones</t>
  </si>
  <si>
    <t>51.07.07</t>
  </si>
  <si>
    <t>Compensacion por vacaciones no gozadas por Cesacion de funciones</t>
  </si>
  <si>
    <t>Cuentas por cobrar (ANTICIPOS)</t>
  </si>
  <si>
    <t>no aplica</t>
  </si>
  <si>
    <t xml:space="preserve">TOTAL </t>
  </si>
  <si>
    <t>PRESIDENTE DEL GOBIERNO PARROQUIAL                                 SECRETARIA-TESORERA</t>
  </si>
  <si>
    <t>Ing. Sandro Castro</t>
  </si>
  <si>
    <t>EGRESOS DE INVERSION</t>
  </si>
  <si>
    <t>Asignación presupuestaria de valores equivalentes al impuesto al valor agregado (IVA)</t>
  </si>
  <si>
    <t>Del Presupuesto General de Estado a Gobiernos Autónomos Descentralizados Parroquiales Rurales.  Por compensacion del IVA</t>
  </si>
  <si>
    <t>Sandro Castro</t>
  </si>
  <si>
    <t>Cecilia Cambizaca</t>
  </si>
  <si>
    <t>Roberto López</t>
  </si>
  <si>
    <t>Rigoberto Zúñiga</t>
  </si>
  <si>
    <t>Mario Peláez</t>
  </si>
  <si>
    <t>Glenda Jara</t>
  </si>
  <si>
    <t>Vicepresidente</t>
  </si>
  <si>
    <t>VOCAL3</t>
  </si>
  <si>
    <t>Pago de predio</t>
  </si>
  <si>
    <t>Intercambio de saberes ancestrales y proteccion de derechos de NNA y personas con discapacidad.</t>
  </si>
  <si>
    <t>Espaldones o Muro en sector alizal 1.50*0.30*40</t>
  </si>
  <si>
    <t>Alcantarillado sector Guacamullo en convenio con el municipio</t>
  </si>
  <si>
    <t>Costos judiciales para legalizacipon de predios</t>
  </si>
  <si>
    <t>Gastos de financiamiento</t>
  </si>
  <si>
    <t>Muro cancha El Remate</t>
  </si>
  <si>
    <t>Mejoramiento graderio en Celel tras la Iglesia</t>
  </si>
  <si>
    <t>IMPLEMENTACION DE INFRAESTRUCTURA FISICA Y NORMATIVA PARROQUIAL (ACTUALIZACION DE ESTUDIOS)</t>
  </si>
  <si>
    <t>5.1.07</t>
  </si>
  <si>
    <t>7.7.01</t>
  </si>
  <si>
    <t>Tasas Generales, Impuestos, Contribuciones, Permisos, Licencias y Patentes</t>
  </si>
  <si>
    <t>7.7</t>
  </si>
  <si>
    <t>Otros Egresos de Inversión</t>
  </si>
  <si>
    <t>Impuestos, tasas y contribuciones</t>
  </si>
  <si>
    <t>Mantenimiento vial</t>
  </si>
  <si>
    <t>Ampliación Edificio parroquial</t>
  </si>
  <si>
    <t>Alquiler Maquinaria y equipos</t>
  </si>
  <si>
    <t>Mano de obra</t>
  </si>
  <si>
    <t>Materiales de construcción</t>
  </si>
  <si>
    <t xml:space="preserve">INGRESOS </t>
  </si>
  <si>
    <t>GASTO CORRIENTE</t>
  </si>
  <si>
    <t>GASTO INVERSION</t>
  </si>
  <si>
    <t>ATENCION ADULTO MAYOR</t>
  </si>
  <si>
    <t>NINOS, NIÑAS Y ADOLESCENTES</t>
  </si>
  <si>
    <t>Actualización Estudios</t>
  </si>
  <si>
    <t>Infraestructura</t>
  </si>
  <si>
    <t>Producción y Manejo Frutales</t>
  </si>
  <si>
    <t>Identidad Cultural</t>
  </si>
  <si>
    <t>Turismo</t>
  </si>
  <si>
    <t>Sevicios Generales</t>
  </si>
  <si>
    <t xml:space="preserve">Ampliación y mejoramiento de infraestructura en atractivos turísticos naturales. </t>
  </si>
  <si>
    <t>Espacios alternativos para atención del adulto mayor. (Incluye computador e impresora 1.500. USD)</t>
  </si>
  <si>
    <t>IVA</t>
  </si>
  <si>
    <t>7.1.05.10</t>
  </si>
  <si>
    <t>Egresos en personal para inversión</t>
  </si>
  <si>
    <t xml:space="preserve">                  Ing. Sandro Castro                                                                     Srta. Glenda Jara</t>
  </si>
  <si>
    <t>MAYO</t>
  </si>
  <si>
    <t>FEBRERO</t>
  </si>
  <si>
    <t>SEPTIEMBRE</t>
  </si>
  <si>
    <t>JULIO</t>
  </si>
  <si>
    <t>-</t>
  </si>
  <si>
    <t>DISTRIBUTIVO DE SUELDOS AÑO 2021</t>
  </si>
  <si>
    <t xml:space="preserve">TOTAL MEF </t>
  </si>
  <si>
    <t xml:space="preserve">GASTO CORRIENTE </t>
  </si>
  <si>
    <t>10 % GRUPOS PRIORITARIOS</t>
  </si>
  <si>
    <t>Instalación Mantenimiento y reparaciones</t>
  </si>
  <si>
    <t>Remuneraciuones unificadas</t>
  </si>
  <si>
    <t>Remuneraciones complementarias</t>
  </si>
  <si>
    <t>Decimo tercer sueldo</t>
  </si>
  <si>
    <t>Decimo cuarto sueldo</t>
  </si>
  <si>
    <t>Aporte patronal a la Seguridad Social</t>
  </si>
  <si>
    <t>Aporte patronal</t>
  </si>
  <si>
    <t>Fondos de reserva</t>
  </si>
  <si>
    <t xml:space="preserve">Insumos, bienes, materiales y suministros para la contrucción, eléctricos, plomería, carpintería,señalización víal, navegación y contra incendios </t>
  </si>
  <si>
    <t>Bienes de larga duracion</t>
  </si>
  <si>
    <t>7.3.08.13</t>
  </si>
  <si>
    <t xml:space="preserve">Repuestos y accesorios </t>
  </si>
  <si>
    <t>7.3.06.06</t>
  </si>
  <si>
    <t>Honorarios por contratos civiles</t>
  </si>
  <si>
    <t>ALCANTARILLADO EN PRINCIPAL Y CELEL</t>
  </si>
  <si>
    <t>AGUA POTABLE EN PRINCIPAL Y CELEL</t>
  </si>
  <si>
    <t>73.05.04</t>
  </si>
  <si>
    <t>Insumos, bienes, materiales y suministros para la contrucción, eléctricos, plomería, carpintería,señalización víal, navegación y contra incendios</t>
  </si>
  <si>
    <t>.</t>
  </si>
  <si>
    <t xml:space="preserve">Atencion a la poblacion adulta mayor, y personas con capacidades diferentes </t>
  </si>
  <si>
    <t>Mejoramiento de la producción Agropecuaria en la parroquia de Principal</t>
  </si>
  <si>
    <t>Cuidando nuestro patrimonio cultural y tradiciones propio de la parroquia de Principal</t>
  </si>
  <si>
    <t>Los niños, niñas, adolescentes expresando nuestros derechos a través de las artes</t>
  </si>
  <si>
    <t>7.3.01</t>
  </si>
  <si>
    <t>7.3.01.04</t>
  </si>
  <si>
    <t xml:space="preserve">Inversiones en obra en proceso </t>
  </si>
  <si>
    <t xml:space="preserve">Energia electrica </t>
  </si>
  <si>
    <t>Bienes muebles</t>
  </si>
  <si>
    <t>Equipos, sistemas y paquetes informaticos.</t>
  </si>
  <si>
    <t>TOTAL GASTO CORRIENTE</t>
  </si>
  <si>
    <t xml:space="preserve">Cuentas por cobrar </t>
  </si>
  <si>
    <t>5.8.01.01</t>
  </si>
  <si>
    <t>A Entidades del Presupuesto General del Estado</t>
  </si>
  <si>
    <t>5.8.01.04</t>
  </si>
  <si>
    <t>A entidades del Gobierno Seccional</t>
  </si>
  <si>
    <t>TECNICO PAM MIES</t>
  </si>
  <si>
    <t>Servicios personales por contrato</t>
  </si>
  <si>
    <t>7.3.02.01</t>
  </si>
  <si>
    <t>Transporte de personal</t>
  </si>
  <si>
    <t>7.3.06.13</t>
  </si>
  <si>
    <t>Capacitacion para la ciudadania en general</t>
  </si>
  <si>
    <t>7.3.08.09</t>
  </si>
  <si>
    <t>Medicamentos y productos farmaceuticos</t>
  </si>
  <si>
    <t>7.3.02.07</t>
  </si>
  <si>
    <t>Difusion, informacion y publicidad</t>
  </si>
  <si>
    <t>7.3.02.04</t>
  </si>
  <si>
    <t>Edicion, impresión, reproduccion y publicacion</t>
  </si>
  <si>
    <t>Instalacion, mantenimiento y reparacion</t>
  </si>
  <si>
    <t>7.3.04.17</t>
  </si>
  <si>
    <t>Mantenimiento de areas verdes y arreglo de vias internas</t>
  </si>
  <si>
    <t>7.7.01.02</t>
  </si>
  <si>
    <t>7.3.04.18</t>
  </si>
  <si>
    <t>Mantenimiento de areas verdes y arreglo de vias alternas</t>
  </si>
  <si>
    <t>Mantenimiento de senderos ecológicos y construcción de refugios para la reactivación del turismo comunitario responsable</t>
  </si>
  <si>
    <t>Mejoramiento Integral de la infraestructura urbana de la parroquia de Principal</t>
  </si>
  <si>
    <t>CONSTRUCCION DE ACERAS Y BORDILLOS EN PRINCIPAL Y CELEL</t>
  </si>
  <si>
    <t>PASIVO CIRCULANTE</t>
  </si>
  <si>
    <t>9.7.01</t>
  </si>
  <si>
    <t>Deuda Flotante</t>
  </si>
  <si>
    <t>5.3.14.07</t>
  </si>
  <si>
    <t>ESTIMACION DE INGRESOS AÑO 2022</t>
  </si>
  <si>
    <t>ESTIMACION PROVISIONAL INGRESOS  AÑO 2022</t>
  </si>
  <si>
    <t>CALCULO  DEFINITIVO DE INGRESOS 2022</t>
  </si>
  <si>
    <t>OTROS SERVICIOS COMUNALES: SERVICIOS DE OPERACIÓN RETROEXCAVADORA</t>
  </si>
  <si>
    <t>75.01.05</t>
  </si>
  <si>
    <t xml:space="preserve">Transporte y vias </t>
  </si>
  <si>
    <t>7.5</t>
  </si>
  <si>
    <t>Obras de infraestructura</t>
  </si>
  <si>
    <t>BIOCORREDOR ECOLOGICO PARA CONECTAR TRES LAGUNAS Y LA TRANCA COMO ZONAS DE RESTAURACION HIDRICA</t>
  </si>
  <si>
    <t>Mantenimiento de la red vial de la parroquia Principal</t>
  </si>
  <si>
    <t>PRESUPUESTO  2022</t>
  </si>
  <si>
    <t>CENTRO DE DESARROLLO COMUNITARIO DE LA PARROQUIA PRINCIPAL</t>
  </si>
  <si>
    <t>Servicios generales.</t>
  </si>
  <si>
    <t>8.4.01</t>
  </si>
  <si>
    <t>Bienes muebles.</t>
  </si>
  <si>
    <t>84.01.04</t>
  </si>
  <si>
    <t>84.01.03</t>
  </si>
  <si>
    <t>Mobiliarios.</t>
  </si>
  <si>
    <t xml:space="preserve">Difusion, informacion y publicidad </t>
  </si>
  <si>
    <t>Repuestos y accesorios.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</si>
</sst>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* #,##0.00_);_(* \(#,##0.00\);_(* &quot;-&quot;??_);_(@_)"/>
    <numFmt numFmtId="165" formatCode="_-* #,##0.00\ _$_-;\-* #,##0.00\ _$_-;_-* &quot;-&quot;??\ _$_-;_-@_-"/>
    <numFmt numFmtId="166" formatCode="_-[$€]* #,##0.00_-;\-[$€]* #,##0.00_-;_-[$€]* &quot;-&quot;??_-;_-@_-"/>
    <numFmt numFmtId="167" formatCode="#,##0.0000"/>
    <numFmt numFmtId="168" formatCode="#,##0.00000"/>
    <numFmt numFmtId="169" formatCode="_(* #,##0_);_(* \(#,##0\);_(* &quot;-&quot;??_);_(@_)"/>
    <numFmt numFmtId="170" formatCode="_(* #,##0.0_);_(* \(#,##0.0\);_(* &quot;-&quot;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8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4"/>
      <color theme="1"/>
      <name val="Arial Black"/>
      <family val="2"/>
    </font>
    <font>
      <b/>
      <sz val="14"/>
      <name val="Arial Black"/>
      <family val="2"/>
    </font>
    <font>
      <b/>
      <sz val="14"/>
      <color theme="8" tint="-0.499984740745262"/>
      <name val="Arial"/>
      <family val="2"/>
    </font>
    <font>
      <b/>
      <sz val="14"/>
      <color theme="9" tint="-0.499984740745262"/>
      <name val="Arial"/>
      <family val="2"/>
    </font>
    <font>
      <sz val="8.5"/>
      <color rgb="FF000000"/>
      <name val="Times New Roman"/>
      <family val="1"/>
    </font>
    <font>
      <sz val="7.5"/>
      <color rgb="FF000000"/>
      <name val="Times New Roman"/>
      <family val="1"/>
    </font>
    <font>
      <u/>
      <sz val="8"/>
      <name val="Arial"/>
      <family val="2"/>
    </font>
    <font>
      <b/>
      <u/>
      <sz val="8"/>
      <color theme="1"/>
      <name val="Arial"/>
      <family val="2"/>
    </font>
    <font>
      <b/>
      <u val="singleAccounting"/>
      <sz val="8"/>
      <name val="Arial"/>
      <family val="2"/>
    </font>
    <font>
      <b/>
      <sz val="11"/>
      <color theme="8" tint="-0.499984740745262"/>
      <name val="Arial"/>
      <family val="2"/>
    </font>
    <font>
      <b/>
      <sz val="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43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3" fillId="0" borderId="0" xfId="0" applyNumberFormat="1" applyFont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3" fillId="0" borderId="0" xfId="0" applyNumberFormat="1" applyFont="1" applyFill="1"/>
    <xf numFmtId="4" fontId="12" fillId="3" borderId="4" xfId="0" applyNumberFormat="1" applyFont="1" applyFill="1" applyBorder="1"/>
    <xf numFmtId="0" fontId="13" fillId="3" borderId="5" xfId="0" applyFont="1" applyFill="1" applyBorder="1"/>
    <xf numFmtId="0" fontId="2" fillId="0" borderId="0" xfId="0" applyFont="1" applyFill="1"/>
    <xf numFmtId="4" fontId="14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1" xfId="0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Fill="1" applyBorder="1"/>
    <xf numFmtId="4" fontId="7" fillId="0" borderId="10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Border="1"/>
    <xf numFmtId="4" fontId="6" fillId="0" borderId="0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0" fontId="6" fillId="0" borderId="1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4" fontId="6" fillId="0" borderId="2" xfId="0" applyNumberFormat="1" applyFont="1" applyFill="1" applyBorder="1"/>
    <xf numFmtId="4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7" fillId="0" borderId="15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0" fontId="18" fillId="0" borderId="0" xfId="0" applyFont="1" applyAlignment="1"/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0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0" fillId="0" borderId="0" xfId="0" applyFont="1"/>
    <xf numFmtId="4" fontId="20" fillId="0" borderId="0" xfId="0" applyNumberFormat="1" applyFont="1"/>
    <xf numFmtId="43" fontId="4" fillId="0" borderId="1" xfId="0" applyNumberFormat="1" applyFont="1" applyBorder="1"/>
    <xf numFmtId="43" fontId="3" fillId="0" borderId="1" xfId="0" applyNumberFormat="1" applyFont="1" applyBorder="1"/>
    <xf numFmtId="0" fontId="21" fillId="0" borderId="1" xfId="0" applyFont="1" applyBorder="1"/>
    <xf numFmtId="43" fontId="21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3" fontId="6" fillId="0" borderId="0" xfId="1" applyNumberFormat="1" applyFont="1" applyFill="1" applyBorder="1"/>
    <xf numFmtId="167" fontId="7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8" fontId="7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43" fontId="26" fillId="0" borderId="1" xfId="1" applyNumberFormat="1" applyFont="1" applyFill="1" applyBorder="1" applyAlignment="1">
      <alignment wrapText="1"/>
    </xf>
    <xf numFmtId="164" fontId="2" fillId="0" borderId="0" xfId="10" applyFont="1"/>
    <xf numFmtId="0" fontId="23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9" fillId="0" borderId="1" xfId="0" applyFont="1" applyFill="1" applyBorder="1" applyAlignment="1">
      <alignment vertical="center" readingOrder="1"/>
    </xf>
    <xf numFmtId="1" fontId="0" fillId="0" borderId="0" xfId="0" applyNumberFormat="1"/>
    <xf numFmtId="9" fontId="0" fillId="0" borderId="0" xfId="0" applyNumberFormat="1"/>
    <xf numFmtId="2" fontId="0" fillId="0" borderId="0" xfId="0" applyNumberFormat="1" applyFill="1" applyBorder="1"/>
    <xf numFmtId="0" fontId="23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3" fillId="8" borderId="0" xfId="0" applyFont="1" applyFill="1"/>
    <xf numFmtId="0" fontId="0" fillId="8" borderId="0" xfId="0" applyFill="1"/>
    <xf numFmtId="2" fontId="0" fillId="8" borderId="0" xfId="0" applyNumberFormat="1" applyFill="1"/>
    <xf numFmtId="2" fontId="23" fillId="8" borderId="0" xfId="0" applyNumberFormat="1" applyFont="1" applyFill="1"/>
    <xf numFmtId="0" fontId="0" fillId="0" borderId="0" xfId="0" applyFill="1"/>
    <xf numFmtId="9" fontId="0" fillId="0" borderId="0" xfId="9" applyFont="1" applyFill="1"/>
    <xf numFmtId="9" fontId="0" fillId="0" borderId="0" xfId="0" applyNumberFormat="1" applyFill="1"/>
    <xf numFmtId="2" fontId="0" fillId="0" borderId="0" xfId="9" applyNumberFormat="1" applyFont="1" applyFill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Fill="1" applyBorder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1" fillId="11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25" fillId="2" borderId="1" xfId="0" applyFont="1" applyFill="1" applyBorder="1" applyAlignment="1">
      <alignment horizontal="justify" vertical="center"/>
    </xf>
    <xf numFmtId="0" fontId="23" fillId="0" borderId="0" xfId="0" applyFont="1" applyAlignment="1"/>
    <xf numFmtId="0" fontId="32" fillId="11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vertical="center" wrapText="1"/>
    </xf>
    <xf numFmtId="2" fontId="0" fillId="0" borderId="0" xfId="0" applyNumberFormat="1" applyFill="1"/>
    <xf numFmtId="4" fontId="0" fillId="0" borderId="0" xfId="0" applyNumberFormat="1"/>
    <xf numFmtId="2" fontId="0" fillId="2" borderId="0" xfId="9" applyNumberFormat="1" applyFont="1" applyFill="1"/>
    <xf numFmtId="0" fontId="23" fillId="0" borderId="0" xfId="0" applyFont="1" applyAlignment="1">
      <alignment horizontal="center"/>
    </xf>
    <xf numFmtId="4" fontId="23" fillId="0" borderId="0" xfId="0" applyNumberFormat="1" applyFont="1"/>
    <xf numFmtId="164" fontId="23" fillId="0" borderId="0" xfId="0" applyNumberFormat="1" applyFont="1" applyAlignment="1">
      <alignment horizontal="center"/>
    </xf>
    <xf numFmtId="0" fontId="23" fillId="14" borderId="0" xfId="0" applyFont="1" applyFill="1"/>
    <xf numFmtId="1" fontId="23" fillId="0" borderId="0" xfId="0" applyNumberFormat="1" applyFont="1"/>
    <xf numFmtId="0" fontId="0" fillId="0" borderId="1" xfId="0" applyFill="1" applyBorder="1"/>
    <xf numFmtId="0" fontId="23" fillId="0" borderId="1" xfId="0" applyFont="1" applyFill="1" applyBorder="1"/>
    <xf numFmtId="0" fontId="37" fillId="0" borderId="20" xfId="0" applyFont="1" applyBorder="1" applyAlignment="1">
      <alignment vertical="center"/>
    </xf>
    <xf numFmtId="0" fontId="37" fillId="5" borderId="21" xfId="0" applyFont="1" applyFill="1" applyBorder="1" applyAlignment="1">
      <alignment horizontal="right" vertical="center"/>
    </xf>
    <xf numFmtId="0" fontId="38" fillId="0" borderId="22" xfId="0" applyFont="1" applyBorder="1" applyAlignment="1">
      <alignment vertical="center"/>
    </xf>
    <xf numFmtId="0" fontId="38" fillId="5" borderId="23" xfId="0" applyFont="1" applyFill="1" applyBorder="1" applyAlignment="1">
      <alignment horizontal="right" vertical="center"/>
    </xf>
    <xf numFmtId="0" fontId="37" fillId="0" borderId="22" xfId="0" applyFont="1" applyBorder="1" applyAlignment="1">
      <alignment vertical="center"/>
    </xf>
    <xf numFmtId="0" fontId="37" fillId="5" borderId="23" xfId="0" applyFont="1" applyFill="1" applyBorder="1" applyAlignment="1">
      <alignment horizontal="right" vertical="center"/>
    </xf>
    <xf numFmtId="0" fontId="37" fillId="0" borderId="23" xfId="0" applyFont="1" applyBorder="1" applyAlignment="1">
      <alignment horizontal="right" vertical="center"/>
    </xf>
    <xf numFmtId="0" fontId="37" fillId="5" borderId="22" xfId="0" applyFont="1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39" fillId="0" borderId="22" xfId="0" applyFont="1" applyBorder="1" applyAlignment="1">
      <alignment vertical="center" wrapText="1"/>
    </xf>
    <xf numFmtId="0" fontId="39" fillId="5" borderId="23" xfId="0" applyFont="1" applyFill="1" applyBorder="1" applyAlignment="1">
      <alignment horizontal="right" vertical="center"/>
    </xf>
    <xf numFmtId="0" fontId="38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 wrapText="1"/>
    </xf>
    <xf numFmtId="0" fontId="38" fillId="0" borderId="22" xfId="0" applyFont="1" applyBorder="1" applyAlignment="1">
      <alignment vertical="center" wrapText="1"/>
    </xf>
    <xf numFmtId="0" fontId="38" fillId="0" borderId="23" xfId="0" applyFont="1" applyBorder="1" applyAlignment="1">
      <alignment horizontal="right" vertical="center"/>
    </xf>
    <xf numFmtId="4" fontId="38" fillId="0" borderId="23" xfId="0" applyNumberFormat="1" applyFont="1" applyBorder="1" applyAlignment="1">
      <alignment horizontal="right" vertical="center"/>
    </xf>
    <xf numFmtId="0" fontId="38" fillId="5" borderId="23" xfId="0" applyFont="1" applyFill="1" applyBorder="1" applyAlignment="1">
      <alignment vertical="center"/>
    </xf>
    <xf numFmtId="0" fontId="39" fillId="0" borderId="22" xfId="0" applyFont="1" applyBorder="1" applyAlignment="1">
      <alignment vertical="center"/>
    </xf>
    <xf numFmtId="4" fontId="39" fillId="5" borderId="23" xfId="0" applyNumberFormat="1" applyFont="1" applyFill="1" applyBorder="1" applyAlignment="1">
      <alignment horizontal="right" vertical="center"/>
    </xf>
    <xf numFmtId="164" fontId="23" fillId="0" borderId="1" xfId="10" applyFont="1" applyFill="1" applyBorder="1"/>
    <xf numFmtId="164" fontId="0" fillId="0" borderId="1" xfId="10" applyFont="1" applyFill="1" applyBorder="1"/>
    <xf numFmtId="164" fontId="0" fillId="0" borderId="0" xfId="10" applyFont="1" applyFill="1"/>
    <xf numFmtId="164" fontId="0" fillId="0" borderId="0" xfId="10" applyFont="1"/>
    <xf numFmtId="164" fontId="23" fillId="0" borderId="0" xfId="10" applyFont="1"/>
    <xf numFmtId="164" fontId="24" fillId="6" borderId="1" xfId="10" applyFont="1" applyFill="1" applyBorder="1"/>
    <xf numFmtId="164" fontId="23" fillId="14" borderId="0" xfId="10" applyFont="1" applyFill="1"/>
    <xf numFmtId="164" fontId="0" fillId="9" borderId="0" xfId="10" applyFont="1" applyFill="1"/>
    <xf numFmtId="164" fontId="0" fillId="11" borderId="0" xfId="10" applyFont="1" applyFill="1"/>
    <xf numFmtId="164" fontId="31" fillId="11" borderId="1" xfId="10" applyFont="1" applyFill="1" applyBorder="1" applyAlignment="1">
      <alignment horizontal="center" vertical="center" wrapText="1"/>
    </xf>
    <xf numFmtId="164" fontId="32" fillId="11" borderId="1" xfId="10" applyFont="1" applyFill="1" applyBorder="1" applyAlignment="1">
      <alignment vertical="center" wrapText="1"/>
    </xf>
    <xf numFmtId="164" fontId="0" fillId="10" borderId="0" xfId="10" applyFont="1" applyFill="1"/>
    <xf numFmtId="164" fontId="0" fillId="2" borderId="0" xfId="10" applyFont="1" applyFill="1"/>
    <xf numFmtId="164" fontId="0" fillId="12" borderId="0" xfId="10" applyFont="1" applyFill="1"/>
    <xf numFmtId="164" fontId="23" fillId="7" borderId="0" xfId="10" applyFont="1" applyFill="1"/>
    <xf numFmtId="164" fontId="0" fillId="7" borderId="0" xfId="10" applyFont="1" applyFill="1"/>
    <xf numFmtId="164" fontId="23" fillId="0" borderId="0" xfId="10" applyFont="1" applyAlignment="1"/>
    <xf numFmtId="164" fontId="23" fillId="8" borderId="0" xfId="10" applyFont="1" applyFill="1"/>
    <xf numFmtId="164" fontId="0" fillId="8" borderId="0" xfId="10" applyFont="1" applyFill="1"/>
    <xf numFmtId="164" fontId="0" fillId="5" borderId="1" xfId="10" applyFont="1" applyFill="1" applyBorder="1"/>
    <xf numFmtId="0" fontId="23" fillId="0" borderId="1" xfId="0" applyFont="1" applyBorder="1"/>
    <xf numFmtId="164" fontId="23" fillId="5" borderId="1" xfId="10" applyFont="1" applyFill="1" applyBorder="1"/>
    <xf numFmtId="0" fontId="23" fillId="0" borderId="1" xfId="0" applyFont="1" applyBorder="1" applyAlignment="1">
      <alignment wrapText="1"/>
    </xf>
    <xf numFmtId="164" fontId="23" fillId="0" borderId="1" xfId="10" applyFont="1" applyBorder="1"/>
    <xf numFmtId="0" fontId="30" fillId="0" borderId="1" xfId="0" applyFont="1" applyFill="1" applyBorder="1"/>
    <xf numFmtId="164" fontId="30" fillId="0" borderId="1" xfId="10" applyFont="1" applyFill="1" applyBorder="1"/>
    <xf numFmtId="49" fontId="40" fillId="13" borderId="0" xfId="0" applyNumberFormat="1" applyFont="1" applyFill="1" applyBorder="1" applyAlignment="1">
      <alignment horizontal="left"/>
    </xf>
    <xf numFmtId="0" fontId="41" fillId="13" borderId="0" xfId="0" applyFont="1" applyFill="1" applyBorder="1" applyAlignment="1">
      <alignment wrapText="1"/>
    </xf>
    <xf numFmtId="4" fontId="40" fillId="13" borderId="0" xfId="0" applyNumberFormat="1" applyFont="1" applyFill="1" applyBorder="1" applyAlignment="1">
      <alignment horizontal="center"/>
    </xf>
    <xf numFmtId="49" fontId="42" fillId="13" borderId="0" xfId="0" applyNumberFormat="1" applyFont="1" applyFill="1" applyBorder="1" applyAlignment="1">
      <alignment horizontal="right"/>
    </xf>
    <xf numFmtId="0" fontId="42" fillId="13" borderId="0" xfId="0" applyFont="1" applyFill="1" applyBorder="1" applyAlignment="1">
      <alignment wrapText="1"/>
    </xf>
    <xf numFmtId="4" fontId="42" fillId="13" borderId="0" xfId="0" applyNumberFormat="1" applyFont="1" applyFill="1" applyBorder="1"/>
    <xf numFmtId="49" fontId="40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wrapText="1"/>
    </xf>
    <xf numFmtId="4" fontId="40" fillId="0" borderId="1" xfId="0" applyNumberFormat="1" applyFont="1" applyFill="1" applyBorder="1"/>
    <xf numFmtId="49" fontId="40" fillId="15" borderId="1" xfId="0" applyNumberFormat="1" applyFont="1" applyFill="1" applyBorder="1" applyAlignment="1">
      <alignment horizontal="right"/>
    </xf>
    <xf numFmtId="0" fontId="40" fillId="15" borderId="1" xfId="0" applyFont="1" applyFill="1" applyBorder="1" applyAlignment="1">
      <alignment wrapText="1"/>
    </xf>
    <xf numFmtId="4" fontId="40" fillId="15" borderId="1" xfId="0" applyNumberFormat="1" applyFont="1" applyFill="1" applyBorder="1"/>
    <xf numFmtId="0" fontId="43" fillId="13" borderId="1" xfId="7" applyFont="1" applyFill="1" applyBorder="1" applyAlignment="1">
      <alignment wrapText="1"/>
    </xf>
    <xf numFmtId="4" fontId="13" fillId="0" borderId="1" xfId="7" applyNumberFormat="1" applyFont="1" applyFill="1" applyBorder="1"/>
    <xf numFmtId="0" fontId="43" fillId="15" borderId="1" xfId="7" applyFont="1" applyFill="1" applyBorder="1" applyAlignment="1">
      <alignment wrapText="1"/>
    </xf>
    <xf numFmtId="0" fontId="40" fillId="13" borderId="1" xfId="0" applyFont="1" applyFill="1" applyBorder="1" applyAlignment="1">
      <alignment wrapText="1"/>
    </xf>
    <xf numFmtId="49" fontId="41" fillId="15" borderId="1" xfId="0" applyNumberFormat="1" applyFont="1" applyFill="1" applyBorder="1" applyAlignment="1">
      <alignment horizontal="right"/>
    </xf>
    <xf numFmtId="0" fontId="41" fillId="15" borderId="1" xfId="0" applyFont="1" applyFill="1" applyBorder="1" applyAlignment="1">
      <alignment wrapText="1"/>
    </xf>
    <xf numFmtId="49" fontId="41" fillId="0" borderId="1" xfId="0" applyNumberFormat="1" applyFont="1" applyFill="1" applyBorder="1" applyAlignment="1">
      <alignment horizontal="right"/>
    </xf>
    <xf numFmtId="0" fontId="41" fillId="0" borderId="0" xfId="0" applyFont="1"/>
    <xf numFmtId="49" fontId="41" fillId="0" borderId="0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wrapText="1"/>
    </xf>
    <xf numFmtId="4" fontId="40" fillId="0" borderId="0" xfId="0" applyNumberFormat="1" applyFont="1" applyFill="1" applyBorder="1"/>
    <xf numFmtId="0" fontId="40" fillId="5" borderId="1" xfId="0" applyFont="1" applyFill="1" applyBorder="1" applyAlignment="1">
      <alignment wrapText="1"/>
    </xf>
    <xf numFmtId="4" fontId="40" fillId="5" borderId="1" xfId="0" applyNumberFormat="1" applyFont="1" applyFill="1" applyBorder="1"/>
    <xf numFmtId="0" fontId="41" fillId="0" borderId="0" xfId="0" applyFont="1" applyAlignment="1">
      <alignment horizontal="right"/>
    </xf>
    <xf numFmtId="0" fontId="45" fillId="0" borderId="0" xfId="0" applyFont="1" applyFill="1" applyBorder="1" applyAlignment="1"/>
    <xf numFmtId="0" fontId="45" fillId="0" borderId="0" xfId="0" applyFont="1" applyFill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right" wrapText="1"/>
    </xf>
    <xf numFmtId="0" fontId="46" fillId="0" borderId="1" xfId="0" applyFont="1" applyFill="1" applyBorder="1" applyAlignment="1">
      <alignment wrapText="1"/>
    </xf>
    <xf numFmtId="43" fontId="46" fillId="0" borderId="1" xfId="1" applyNumberFormat="1" applyFont="1" applyFill="1" applyBorder="1" applyAlignment="1">
      <alignment wrapText="1"/>
    </xf>
    <xf numFmtId="0" fontId="47" fillId="0" borderId="1" xfId="0" applyFont="1" applyBorder="1" applyAlignment="1">
      <alignment horizontal="right" wrapText="1"/>
    </xf>
    <xf numFmtId="0" fontId="47" fillId="0" borderId="1" xfId="0" applyFont="1" applyFill="1" applyBorder="1" applyAlignment="1">
      <alignment wrapText="1"/>
    </xf>
    <xf numFmtId="43" fontId="47" fillId="0" borderId="1" xfId="1" applyNumberFormat="1" applyFont="1" applyFill="1" applyBorder="1" applyAlignment="1">
      <alignment wrapText="1"/>
    </xf>
    <xf numFmtId="0" fontId="43" fillId="0" borderId="1" xfId="7" applyFont="1" applyBorder="1" applyAlignment="1">
      <alignment horizontal="right" wrapText="1"/>
    </xf>
    <xf numFmtId="0" fontId="43" fillId="0" borderId="1" xfId="0" applyFont="1" applyFill="1" applyBorder="1" applyAlignment="1">
      <alignment wrapText="1"/>
    </xf>
    <xf numFmtId="43" fontId="43" fillId="0" borderId="1" xfId="1" applyNumberFormat="1" applyFont="1" applyFill="1" applyBorder="1" applyAlignment="1">
      <alignment wrapText="1"/>
    </xf>
    <xf numFmtId="0" fontId="13" fillId="0" borderId="1" xfId="7" applyFont="1" applyBorder="1" applyAlignment="1">
      <alignment horizontal="right" wrapText="1"/>
    </xf>
    <xf numFmtId="0" fontId="13" fillId="0" borderId="1" xfId="0" applyFont="1" applyFill="1" applyBorder="1" applyAlignment="1">
      <alignment wrapText="1"/>
    </xf>
    <xf numFmtId="43" fontId="13" fillId="0" borderId="1" xfId="1" applyNumberFormat="1" applyFont="1" applyFill="1" applyBorder="1" applyAlignment="1">
      <alignment wrapText="1"/>
    </xf>
    <xf numFmtId="0" fontId="46" fillId="0" borderId="1" xfId="0" applyFont="1" applyBorder="1" applyAlignment="1">
      <alignment horizontal="center" wrapText="1"/>
    </xf>
    <xf numFmtId="164" fontId="46" fillId="0" borderId="1" xfId="10" applyFont="1" applyBorder="1" applyAlignment="1">
      <alignment horizontal="right" wrapText="1"/>
    </xf>
    <xf numFmtId="0" fontId="47" fillId="0" borderId="1" xfId="0" applyFont="1" applyBorder="1" applyAlignment="1">
      <alignment wrapText="1"/>
    </xf>
    <xf numFmtId="164" fontId="47" fillId="0" borderId="1" xfId="10" applyFont="1" applyBorder="1" applyAlignment="1">
      <alignment wrapText="1"/>
    </xf>
    <xf numFmtId="164" fontId="43" fillId="0" borderId="1" xfId="10" applyFont="1" applyFill="1" applyBorder="1" applyAlignment="1">
      <alignment wrapText="1"/>
    </xf>
    <xf numFmtId="43" fontId="47" fillId="0" borderId="1" xfId="0" applyNumberFormat="1" applyFont="1" applyBorder="1" applyAlignment="1">
      <alignment wrapText="1"/>
    </xf>
    <xf numFmtId="0" fontId="41" fillId="0" borderId="1" xfId="0" applyFont="1" applyBorder="1"/>
    <xf numFmtId="164" fontId="41" fillId="0" borderId="1" xfId="10" applyFont="1" applyBorder="1"/>
    <xf numFmtId="0" fontId="40" fillId="0" borderId="1" xfId="0" applyFont="1" applyBorder="1" applyAlignment="1">
      <alignment horizontal="right" wrapText="1"/>
    </xf>
    <xf numFmtId="0" fontId="43" fillId="5" borderId="1" xfId="0" applyFont="1" applyFill="1" applyBorder="1" applyAlignment="1">
      <alignment wrapText="1"/>
    </xf>
    <xf numFmtId="43" fontId="43" fillId="5" borderId="1" xfId="1" applyNumberFormat="1" applyFont="1" applyFill="1" applyBorder="1" applyAlignment="1">
      <alignment wrapText="1"/>
    </xf>
    <xf numFmtId="0" fontId="10" fillId="0" borderId="1" xfId="0" applyFont="1" applyFill="1" applyBorder="1"/>
    <xf numFmtId="0" fontId="2" fillId="0" borderId="1" xfId="0" applyFont="1" applyFill="1" applyBorder="1"/>
    <xf numFmtId="0" fontId="26" fillId="0" borderId="1" xfId="7" applyFont="1" applyFill="1" applyBorder="1" applyAlignment="1">
      <alignment horizontal="right" wrapText="1"/>
    </xf>
    <xf numFmtId="0" fontId="3" fillId="0" borderId="1" xfId="0" applyFont="1" applyFill="1" applyBorder="1"/>
    <xf numFmtId="164" fontId="10" fillId="0" borderId="1" xfId="0" applyNumberFormat="1" applyFont="1" applyFill="1" applyBorder="1"/>
    <xf numFmtId="164" fontId="2" fillId="0" borderId="1" xfId="10" applyFont="1" applyFill="1" applyBorder="1"/>
    <xf numFmtId="0" fontId="27" fillId="0" borderId="1" xfId="0" applyFont="1" applyFill="1" applyBorder="1" applyAlignment="1">
      <alignment horizontal="right" wrapText="1"/>
    </xf>
    <xf numFmtId="0" fontId="48" fillId="0" borderId="0" xfId="0" applyFont="1" applyAlignment="1">
      <alignment horizontal="right" vertical="center" wrapText="1"/>
    </xf>
    <xf numFmtId="0" fontId="4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164" fontId="6" fillId="0" borderId="1" xfId="10" applyFont="1" applyBorder="1"/>
    <xf numFmtId="164" fontId="6" fillId="0" borderId="0" xfId="10" applyFont="1" applyFill="1" applyBorder="1"/>
    <xf numFmtId="164" fontId="6" fillId="0" borderId="0" xfId="10" applyFont="1"/>
    <xf numFmtId="164" fontId="7" fillId="13" borderId="0" xfId="10" applyFont="1" applyFill="1" applyBorder="1" applyAlignment="1">
      <alignment horizontal="left"/>
    </xf>
    <xf numFmtId="164" fontId="6" fillId="13" borderId="0" xfId="10" applyFont="1" applyFill="1"/>
    <xf numFmtId="164" fontId="6" fillId="13" borderId="0" xfId="10" applyFont="1" applyFill="1" applyBorder="1"/>
    <xf numFmtId="164" fontId="36" fillId="13" borderId="0" xfId="10" applyFont="1" applyFill="1" applyBorder="1"/>
    <xf numFmtId="164" fontId="7" fillId="13" borderId="0" xfId="10" applyFont="1" applyFill="1" applyBorder="1"/>
    <xf numFmtId="164" fontId="7" fillId="0" borderId="1" xfId="10" applyFont="1" applyFill="1" applyBorder="1" applyAlignment="1">
      <alignment horizontal="center" vertical="center"/>
    </xf>
    <xf numFmtId="164" fontId="36" fillId="0" borderId="1" xfId="10" applyFont="1" applyFill="1" applyBorder="1" applyAlignment="1">
      <alignment horizontal="center" vertical="center"/>
    </xf>
    <xf numFmtId="164" fontId="7" fillId="0" borderId="0" xfId="10" applyFont="1" applyFill="1" applyBorder="1"/>
    <xf numFmtId="164" fontId="7" fillId="0" borderId="1" xfId="10" applyFont="1" applyFill="1" applyBorder="1" applyAlignment="1">
      <alignment horizontal="right"/>
    </xf>
    <xf numFmtId="164" fontId="6" fillId="0" borderId="1" xfId="10" applyFont="1" applyFill="1" applyBorder="1"/>
    <xf numFmtId="164" fontId="36" fillId="0" borderId="1" xfId="10" applyFont="1" applyFill="1" applyBorder="1"/>
    <xf numFmtId="164" fontId="7" fillId="0" borderId="1" xfId="10" applyFont="1" applyFill="1" applyBorder="1"/>
    <xf numFmtId="164" fontId="6" fillId="0" borderId="1" xfId="10" applyFont="1" applyFill="1" applyBorder="1" applyAlignment="1">
      <alignment horizontal="right"/>
    </xf>
    <xf numFmtId="164" fontId="36" fillId="0" borderId="1" xfId="10" applyFont="1" applyFill="1" applyBorder="1" applyAlignment="1">
      <alignment horizontal="right"/>
    </xf>
    <xf numFmtId="164" fontId="50" fillId="0" borderId="1" xfId="10" applyFont="1" applyFill="1" applyBorder="1"/>
    <xf numFmtId="164" fontId="6" fillId="0" borderId="0" xfId="10" applyFont="1" applyFill="1"/>
    <xf numFmtId="164" fontId="6" fillId="0" borderId="0" xfId="10" applyFont="1" applyFill="1" applyBorder="1" applyAlignment="1">
      <alignment horizontal="right"/>
    </xf>
    <xf numFmtId="164" fontId="7" fillId="13" borderId="1" xfId="10" applyFont="1" applyFill="1" applyBorder="1" applyAlignment="1">
      <alignment wrapText="1"/>
    </xf>
    <xf numFmtId="164" fontId="7" fillId="13" borderId="16" xfId="10" applyFont="1" applyFill="1" applyBorder="1"/>
    <xf numFmtId="164" fontId="6" fillId="13" borderId="16" xfId="10" applyFont="1" applyFill="1" applyBorder="1"/>
    <xf numFmtId="164" fontId="50" fillId="13" borderId="16" xfId="10" applyFont="1" applyFill="1" applyBorder="1"/>
    <xf numFmtId="164" fontId="6" fillId="13" borderId="2" xfId="10" applyFont="1" applyFill="1" applyBorder="1"/>
    <xf numFmtId="164" fontId="6" fillId="13" borderId="24" xfId="10" applyFont="1" applyFill="1" applyBorder="1"/>
    <xf numFmtId="164" fontId="7" fillId="0" borderId="18" xfId="10" applyFont="1" applyFill="1" applyBorder="1"/>
    <xf numFmtId="164" fontId="36" fillId="0" borderId="18" xfId="10" applyFont="1" applyFill="1" applyBorder="1"/>
    <xf numFmtId="164" fontId="7" fillId="0" borderId="16" xfId="10" applyFont="1" applyFill="1" applyBorder="1" applyAlignment="1">
      <alignment horizontal="right"/>
    </xf>
    <xf numFmtId="164" fontId="6" fillId="0" borderId="16" xfId="10" applyFont="1" applyFill="1" applyBorder="1"/>
    <xf numFmtId="164" fontId="7" fillId="0" borderId="16" xfId="10" applyFont="1" applyFill="1" applyBorder="1"/>
    <xf numFmtId="164" fontId="36" fillId="0" borderId="16" xfId="10" applyFont="1" applyFill="1" applyBorder="1"/>
    <xf numFmtId="164" fontId="6" fillId="0" borderId="16" xfId="10" applyFont="1" applyFill="1" applyBorder="1" applyAlignment="1">
      <alignment horizontal="right"/>
    </xf>
    <xf numFmtId="164" fontId="6" fillId="13" borderId="28" xfId="10" applyFont="1" applyFill="1" applyBorder="1"/>
    <xf numFmtId="164" fontId="6" fillId="13" borderId="25" xfId="10" applyFont="1" applyFill="1" applyBorder="1"/>
    <xf numFmtId="164" fontId="6" fillId="13" borderId="3" xfId="10" applyFont="1" applyFill="1" applyBorder="1"/>
    <xf numFmtId="164" fontId="36" fillId="0" borderId="0" xfId="10" applyFont="1" applyFill="1" applyBorder="1"/>
    <xf numFmtId="164" fontId="6" fillId="14" borderId="1" xfId="10" applyFont="1" applyFill="1" applyBorder="1"/>
    <xf numFmtId="164" fontId="6" fillId="0" borderId="19" xfId="10" applyFont="1" applyFill="1" applyBorder="1"/>
    <xf numFmtId="164" fontId="6" fillId="13" borderId="1" xfId="10" applyFont="1" applyFill="1" applyBorder="1"/>
    <xf numFmtId="164" fontId="7" fillId="14" borderId="1" xfId="10" applyFont="1" applyFill="1" applyBorder="1"/>
    <xf numFmtId="164" fontId="36" fillId="14" borderId="1" xfId="10" applyFont="1" applyFill="1" applyBorder="1"/>
    <xf numFmtId="164" fontId="6" fillId="0" borderId="24" xfId="10" applyFont="1" applyFill="1" applyBorder="1" applyAlignment="1">
      <alignment horizontal="right"/>
    </xf>
    <xf numFmtId="164" fontId="7" fillId="13" borderId="3" xfId="10" applyFont="1" applyFill="1" applyBorder="1" applyAlignment="1">
      <alignment wrapText="1"/>
    </xf>
    <xf numFmtId="164" fontId="50" fillId="0" borderId="1" xfId="10" applyFont="1" applyBorder="1"/>
    <xf numFmtId="164" fontId="6" fillId="0" borderId="3" xfId="10" applyFont="1" applyFill="1" applyBorder="1" applyAlignment="1">
      <alignment horizontal="right"/>
    </xf>
    <xf numFmtId="164" fontId="6" fillId="13" borderId="1" xfId="10" applyFont="1" applyFill="1" applyBorder="1" applyAlignment="1">
      <alignment horizontal="right"/>
    </xf>
    <xf numFmtId="164" fontId="50" fillId="0" borderId="0" xfId="10" applyFont="1"/>
    <xf numFmtId="164" fontId="7" fillId="13" borderId="1" xfId="10" applyFont="1" applyFill="1" applyBorder="1" applyAlignment="1">
      <alignment horizontal="right"/>
    </xf>
    <xf numFmtId="164" fontId="28" fillId="0" borderId="0" xfId="10" applyFont="1" applyFill="1" applyBorder="1"/>
    <xf numFmtId="164" fontId="19" fillId="0" borderId="0" xfId="10" applyFont="1" applyFill="1" applyBorder="1" applyAlignment="1">
      <alignment horizontal="right"/>
    </xf>
    <xf numFmtId="164" fontId="19" fillId="0" borderId="0" xfId="10" applyFont="1"/>
    <xf numFmtId="164" fontId="19" fillId="0" borderId="0" xfId="10" applyFont="1" applyFill="1" applyBorder="1"/>
    <xf numFmtId="164" fontId="51" fillId="0" borderId="0" xfId="10" applyFont="1" applyFill="1" applyBorder="1"/>
    <xf numFmtId="49" fontId="7" fillId="13" borderId="0" xfId="10" applyNumberFormat="1" applyFont="1" applyFill="1" applyBorder="1" applyAlignment="1">
      <alignment wrapText="1"/>
    </xf>
    <xf numFmtId="49" fontId="7" fillId="0" borderId="1" xfId="10" applyNumberFormat="1" applyFont="1" applyFill="1" applyBorder="1" applyAlignment="1">
      <alignment horizontal="center" vertical="center" wrapText="1"/>
    </xf>
    <xf numFmtId="49" fontId="7" fillId="0" borderId="1" xfId="10" applyNumberFormat="1" applyFont="1" applyFill="1" applyBorder="1" applyAlignment="1">
      <alignment wrapText="1"/>
    </xf>
    <xf numFmtId="49" fontId="6" fillId="0" borderId="1" xfId="10" applyNumberFormat="1" applyFont="1" applyFill="1" applyBorder="1" applyAlignment="1">
      <alignment wrapText="1"/>
    </xf>
    <xf numFmtId="49" fontId="36" fillId="0" borderId="1" xfId="10" applyNumberFormat="1" applyFont="1" applyFill="1" applyBorder="1" applyAlignment="1">
      <alignment wrapText="1"/>
    </xf>
    <xf numFmtId="49" fontId="6" fillId="0" borderId="0" xfId="10" applyNumberFormat="1" applyFont="1" applyFill="1" applyBorder="1" applyAlignment="1">
      <alignment wrapText="1"/>
    </xf>
    <xf numFmtId="49" fontId="7" fillId="13" borderId="1" xfId="10" applyNumberFormat="1" applyFont="1" applyFill="1" applyBorder="1" applyAlignment="1">
      <alignment wrapText="1"/>
    </xf>
    <xf numFmtId="49" fontId="7" fillId="13" borderId="2" xfId="10" applyNumberFormat="1" applyFont="1" applyFill="1" applyBorder="1" applyAlignment="1">
      <alignment wrapText="1"/>
    </xf>
    <xf numFmtId="49" fontId="7" fillId="0" borderId="16" xfId="10" applyNumberFormat="1" applyFont="1" applyFill="1" applyBorder="1" applyAlignment="1">
      <alignment wrapText="1"/>
    </xf>
    <xf numFmtId="49" fontId="6" fillId="0" borderId="16" xfId="10" applyNumberFormat="1" applyFont="1" applyFill="1" applyBorder="1" applyAlignment="1">
      <alignment wrapText="1"/>
    </xf>
    <xf numFmtId="49" fontId="7" fillId="0" borderId="18" xfId="10" applyNumberFormat="1" applyFont="1" applyFill="1" applyBorder="1" applyAlignment="1">
      <alignment wrapText="1"/>
    </xf>
    <xf numFmtId="49" fontId="6" fillId="0" borderId="0" xfId="10" applyNumberFormat="1" applyFont="1"/>
    <xf numFmtId="49" fontId="6" fillId="0" borderId="24" xfId="10" applyNumberFormat="1" applyFont="1" applyFill="1" applyBorder="1" applyAlignment="1">
      <alignment wrapText="1"/>
    </xf>
    <xf numFmtId="49" fontId="7" fillId="13" borderId="26" xfId="10" applyNumberFormat="1" applyFont="1" applyFill="1" applyBorder="1" applyAlignment="1">
      <alignment wrapText="1"/>
    </xf>
    <xf numFmtId="49" fontId="7" fillId="0" borderId="0" xfId="10" applyNumberFormat="1" applyFont="1"/>
    <xf numFmtId="49" fontId="7" fillId="0" borderId="2" xfId="10" applyNumberFormat="1" applyFont="1" applyFill="1" applyBorder="1" applyAlignment="1">
      <alignment wrapText="1"/>
    </xf>
    <xf numFmtId="49" fontId="6" fillId="0" borderId="2" xfId="10" applyNumberFormat="1" applyFont="1" applyFill="1" applyBorder="1" applyAlignment="1">
      <alignment wrapText="1"/>
    </xf>
    <xf numFmtId="49" fontId="6" fillId="0" borderId="3" xfId="10" applyNumberFormat="1" applyFont="1" applyFill="1" applyBorder="1" applyAlignment="1">
      <alignment wrapText="1"/>
    </xf>
    <xf numFmtId="49" fontId="19" fillId="0" borderId="0" xfId="10" applyNumberFormat="1" applyFont="1" applyFill="1" applyBorder="1" applyAlignment="1">
      <alignment wrapText="1"/>
    </xf>
    <xf numFmtId="164" fontId="6" fillId="0" borderId="18" xfId="10" applyFont="1" applyFill="1" applyBorder="1"/>
    <xf numFmtId="169" fontId="7" fillId="0" borderId="0" xfId="10" applyNumberFormat="1" applyFont="1"/>
    <xf numFmtId="43" fontId="10" fillId="0" borderId="0" xfId="0" applyNumberFormat="1" applyFont="1"/>
    <xf numFmtId="164" fontId="3" fillId="0" borderId="0" xfId="0" applyNumberFormat="1" applyFont="1"/>
    <xf numFmtId="164" fontId="28" fillId="0" borderId="1" xfId="0" applyNumberFormat="1" applyFont="1" applyFill="1" applyBorder="1" applyAlignment="1">
      <alignment wrapText="1"/>
    </xf>
    <xf numFmtId="43" fontId="2" fillId="0" borderId="1" xfId="0" applyNumberFormat="1" applyFont="1" applyFill="1" applyBorder="1"/>
    <xf numFmtId="164" fontId="7" fillId="0" borderId="0" xfId="10" applyFont="1" applyAlignment="1">
      <alignment horizontal="right"/>
    </xf>
    <xf numFmtId="164" fontId="3" fillId="0" borderId="1" xfId="0" applyNumberFormat="1" applyFont="1" applyBorder="1"/>
    <xf numFmtId="164" fontId="4" fillId="0" borderId="1" xfId="0" applyNumberFormat="1" applyFont="1" applyBorder="1"/>
    <xf numFmtId="164" fontId="50" fillId="0" borderId="16" xfId="10" applyFont="1" applyFill="1" applyBorder="1"/>
    <xf numFmtId="43" fontId="0" fillId="0" borderId="0" xfId="0" applyNumberFormat="1"/>
    <xf numFmtId="9" fontId="0" fillId="0" borderId="0" xfId="9" applyFont="1"/>
    <xf numFmtId="164" fontId="24" fillId="0" borderId="1" xfId="10" applyFont="1" applyFill="1" applyBorder="1" applyAlignment="1">
      <alignment wrapText="1"/>
    </xf>
    <xf numFmtId="164" fontId="24" fillId="0" borderId="1" xfId="10" applyFont="1" applyFill="1" applyBorder="1"/>
    <xf numFmtId="0" fontId="24" fillId="0" borderId="1" xfId="0" applyFont="1" applyFill="1" applyBorder="1"/>
    <xf numFmtId="2" fontId="24" fillId="0" borderId="1" xfId="0" applyNumberFormat="1" applyFont="1" applyFill="1" applyBorder="1"/>
    <xf numFmtId="0" fontId="24" fillId="0" borderId="27" xfId="0" applyFont="1" applyBorder="1"/>
    <xf numFmtId="0" fontId="2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center"/>
    </xf>
    <xf numFmtId="43" fontId="23" fillId="0" borderId="0" xfId="0" applyNumberFormat="1" applyFont="1"/>
    <xf numFmtId="164" fontId="0" fillId="16" borderId="1" xfId="10" applyFont="1" applyFill="1" applyBorder="1"/>
    <xf numFmtId="164" fontId="23" fillId="16" borderId="1" xfId="10" applyFont="1" applyFill="1" applyBorder="1"/>
    <xf numFmtId="164" fontId="23" fillId="0" borderId="0" xfId="10" applyFont="1" applyFill="1" applyBorder="1"/>
    <xf numFmtId="0" fontId="23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horizontal="left" wrapText="1"/>
    </xf>
    <xf numFmtId="164" fontId="7" fillId="13" borderId="16" xfId="10" applyFont="1" applyFill="1" applyBorder="1" applyAlignment="1">
      <alignment wrapText="1"/>
    </xf>
    <xf numFmtId="49" fontId="7" fillId="13" borderId="16" xfId="10" applyNumberFormat="1" applyFont="1" applyFill="1" applyBorder="1" applyAlignment="1">
      <alignment wrapText="1"/>
    </xf>
    <xf numFmtId="164" fontId="36" fillId="0" borderId="18" xfId="10" applyFont="1" applyFill="1" applyBorder="1" applyAlignment="1">
      <alignment horizontal="right"/>
    </xf>
    <xf numFmtId="49" fontId="36" fillId="0" borderId="18" xfId="10" applyNumberFormat="1" applyFont="1" applyFill="1" applyBorder="1" applyAlignment="1">
      <alignment wrapText="1"/>
    </xf>
    <xf numFmtId="164" fontId="6" fillId="14" borderId="18" xfId="10" applyFont="1" applyFill="1" applyBorder="1"/>
    <xf numFmtId="164" fontId="7" fillId="14" borderId="18" xfId="10" applyFont="1" applyFill="1" applyBorder="1"/>
    <xf numFmtId="164" fontId="7" fillId="13" borderId="0" xfId="10" applyFont="1" applyFill="1" applyBorder="1" applyAlignment="1">
      <alignment wrapText="1"/>
    </xf>
    <xf numFmtId="49" fontId="7" fillId="13" borderId="28" xfId="10" applyNumberFormat="1" applyFont="1" applyFill="1" applyBorder="1" applyAlignment="1">
      <alignment wrapText="1"/>
    </xf>
    <xf numFmtId="164" fontId="52" fillId="14" borderId="18" xfId="10" applyFont="1" applyFill="1" applyBorder="1"/>
    <xf numFmtId="164" fontId="52" fillId="0" borderId="1" xfId="10" applyFont="1" applyFill="1" applyBorder="1"/>
    <xf numFmtId="164" fontId="52" fillId="14" borderId="1" xfId="10" applyFont="1" applyFill="1" applyBorder="1"/>
    <xf numFmtId="49" fontId="6" fillId="14" borderId="1" xfId="10" applyNumberFormat="1" applyFont="1" applyFill="1" applyBorder="1" applyAlignment="1">
      <alignment vertical="top" wrapText="1"/>
    </xf>
    <xf numFmtId="0" fontId="10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43" fontId="5" fillId="0" borderId="1" xfId="0" applyNumberFormat="1" applyFont="1" applyFill="1" applyBorder="1"/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right" wrapText="1"/>
    </xf>
    <xf numFmtId="0" fontId="53" fillId="0" borderId="1" xfId="0" applyFont="1" applyFill="1" applyBorder="1" applyAlignment="1">
      <alignment wrapText="1"/>
    </xf>
    <xf numFmtId="43" fontId="53" fillId="0" borderId="1" xfId="0" applyNumberFormat="1" applyFont="1" applyFill="1" applyBorder="1" applyAlignment="1">
      <alignment wrapText="1"/>
    </xf>
    <xf numFmtId="43" fontId="53" fillId="0" borderId="1" xfId="1" applyNumberFormat="1" applyFont="1" applyFill="1" applyBorder="1" applyAlignment="1">
      <alignment wrapText="1"/>
    </xf>
    <xf numFmtId="0" fontId="53" fillId="0" borderId="1" xfId="0" applyFont="1" applyBorder="1"/>
    <xf numFmtId="0" fontId="53" fillId="0" borderId="1" xfId="0" applyFont="1" applyFill="1" applyBorder="1"/>
    <xf numFmtId="0" fontId="10" fillId="0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wrapText="1"/>
    </xf>
    <xf numFmtId="43" fontId="10" fillId="0" borderId="1" xfId="1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43" fontId="4" fillId="0" borderId="1" xfId="1" applyNumberFormat="1" applyFont="1" applyFill="1" applyBorder="1" applyAlignment="1">
      <alignment wrapText="1"/>
    </xf>
    <xf numFmtId="0" fontId="3" fillId="0" borderId="1" xfId="5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43" fontId="3" fillId="0" borderId="1" xfId="1" applyNumberFormat="1" applyFont="1" applyFill="1" applyBorder="1" applyAlignment="1">
      <alignment wrapText="1"/>
    </xf>
    <xf numFmtId="0" fontId="4" fillId="0" borderId="1" xfId="7" applyFont="1" applyFill="1" applyBorder="1" applyAlignment="1">
      <alignment horizontal="right" wrapText="1"/>
    </xf>
    <xf numFmtId="0" fontId="3" fillId="0" borderId="1" xfId="7" applyFont="1" applyFill="1" applyBorder="1" applyAlignment="1">
      <alignment horizontal="right" wrapText="1"/>
    </xf>
    <xf numFmtId="43" fontId="10" fillId="0" borderId="1" xfId="0" applyNumberFormat="1" applyFont="1" applyFill="1" applyBorder="1" applyAlignment="1">
      <alignment wrapText="1"/>
    </xf>
    <xf numFmtId="43" fontId="3" fillId="0" borderId="1" xfId="1" quotePrefix="1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164" fontId="53" fillId="0" borderId="1" xfId="10" applyFont="1" applyFill="1" applyBorder="1" applyAlignment="1">
      <alignment wrapText="1"/>
    </xf>
    <xf numFmtId="164" fontId="10" fillId="0" borderId="1" xfId="10" applyFont="1" applyFill="1" applyBorder="1" applyAlignment="1">
      <alignment wrapText="1"/>
    </xf>
    <xf numFmtId="164" fontId="4" fillId="0" borderId="1" xfId="10" applyFont="1" applyFill="1" applyBorder="1" applyAlignment="1">
      <alignment wrapText="1"/>
    </xf>
    <xf numFmtId="164" fontId="2" fillId="0" borderId="1" xfId="1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20" fillId="0" borderId="1" xfId="10" applyFont="1" applyFill="1" applyBorder="1" applyAlignment="1">
      <alignment wrapText="1"/>
    </xf>
    <xf numFmtId="164" fontId="28" fillId="0" borderId="0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4" fontId="11" fillId="0" borderId="0" xfId="0" applyNumberFormat="1" applyFont="1"/>
    <xf numFmtId="0" fontId="7" fillId="0" borderId="1" xfId="10" applyNumberFormat="1" applyFont="1" applyFill="1" applyBorder="1"/>
    <xf numFmtId="49" fontId="7" fillId="13" borderId="3" xfId="10" applyNumberFormat="1" applyFont="1" applyFill="1" applyBorder="1" applyAlignment="1">
      <alignment wrapText="1"/>
    </xf>
    <xf numFmtId="164" fontId="7" fillId="13" borderId="1" xfId="10" applyFont="1" applyFill="1" applyBorder="1"/>
    <xf numFmtId="164" fontId="6" fillId="13" borderId="18" xfId="10" applyFont="1" applyFill="1" applyBorder="1"/>
    <xf numFmtId="49" fontId="7" fillId="13" borderId="0" xfId="10" applyNumberFormat="1" applyFont="1" applyFill="1" applyBorder="1" applyAlignment="1">
      <alignment horizontal="left" wrapText="1"/>
    </xf>
    <xf numFmtId="49" fontId="6" fillId="0" borderId="18" xfId="10" applyNumberFormat="1" applyFont="1" applyFill="1" applyBorder="1" applyAlignment="1">
      <alignment wrapText="1"/>
    </xf>
    <xf numFmtId="43" fontId="11" fillId="0" borderId="0" xfId="0" applyNumberFormat="1" applyFont="1"/>
    <xf numFmtId="164" fontId="51" fillId="13" borderId="1" xfId="10" applyFont="1" applyFill="1" applyBorder="1"/>
    <xf numFmtId="164" fontId="54" fillId="13" borderId="1" xfId="10" applyFont="1" applyFill="1" applyBorder="1"/>
    <xf numFmtId="170" fontId="7" fillId="13" borderId="1" xfId="10" applyNumberFormat="1" applyFont="1" applyFill="1" applyBorder="1" applyAlignment="1">
      <alignment horizontal="right"/>
    </xf>
    <xf numFmtId="164" fontId="36" fillId="13" borderId="1" xfId="10" applyFont="1" applyFill="1" applyBorder="1"/>
    <xf numFmtId="49" fontId="6" fillId="0" borderId="1" xfId="10" applyNumberFormat="1" applyFont="1" applyFill="1" applyBorder="1" applyAlignment="1">
      <alignment horizontal="left" vertical="top" wrapText="1"/>
    </xf>
    <xf numFmtId="2" fontId="7" fillId="0" borderId="1" xfId="10" applyNumberFormat="1" applyFont="1" applyFill="1" applyBorder="1"/>
    <xf numFmtId="0" fontId="2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43" fontId="53" fillId="0" borderId="0" xfId="1" applyNumberFormat="1" applyFont="1" applyFill="1" applyBorder="1" applyAlignment="1">
      <alignment wrapText="1"/>
    </xf>
    <xf numFmtId="0" fontId="53" fillId="0" borderId="0" xfId="0" applyFont="1" applyFill="1" applyBorder="1"/>
    <xf numFmtId="0" fontId="10" fillId="0" borderId="0" xfId="0" applyFont="1" applyFill="1" applyBorder="1"/>
    <xf numFmtId="0" fontId="3" fillId="0" borderId="0" xfId="0" applyFont="1" applyFill="1" applyBorder="1"/>
    <xf numFmtId="43" fontId="10" fillId="0" borderId="0" xfId="1" applyNumberFormat="1" applyFont="1" applyFill="1" applyBorder="1" applyAlignment="1">
      <alignment wrapText="1"/>
    </xf>
    <xf numFmtId="43" fontId="4" fillId="0" borderId="0" xfId="1" applyNumberFormat="1" applyFont="1" applyFill="1" applyBorder="1" applyAlignment="1">
      <alignment wrapText="1"/>
    </xf>
    <xf numFmtId="164" fontId="10" fillId="0" borderId="0" xfId="0" applyNumberFormat="1" applyFont="1" applyFill="1" applyBorder="1"/>
    <xf numFmtId="43" fontId="3" fillId="0" borderId="0" xfId="1" applyNumberFormat="1" applyFont="1" applyFill="1" applyBorder="1" applyAlignment="1">
      <alignment wrapText="1"/>
    </xf>
    <xf numFmtId="43" fontId="3" fillId="0" borderId="0" xfId="1" quotePrefix="1" applyNumberFormat="1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10" applyFont="1" applyFill="1" applyBorder="1"/>
    <xf numFmtId="164" fontId="53" fillId="0" borderId="0" xfId="10" applyFont="1" applyFill="1" applyBorder="1" applyAlignment="1">
      <alignment wrapText="1"/>
    </xf>
    <xf numFmtId="164" fontId="10" fillId="0" borderId="0" xfId="10" applyFont="1" applyFill="1" applyBorder="1" applyAlignment="1">
      <alignment wrapText="1"/>
    </xf>
    <xf numFmtId="164" fontId="4" fillId="0" borderId="0" xfId="10" applyFont="1" applyFill="1" applyBorder="1" applyAlignment="1">
      <alignment wrapText="1"/>
    </xf>
    <xf numFmtId="164" fontId="20" fillId="0" borderId="0" xfId="10" applyFont="1" applyFill="1" applyBorder="1" applyAlignment="1">
      <alignment wrapText="1"/>
    </xf>
    <xf numFmtId="164" fontId="2" fillId="0" borderId="0" xfId="10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wrapText="1"/>
    </xf>
    <xf numFmtId="43" fontId="5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center"/>
    </xf>
    <xf numFmtId="164" fontId="36" fillId="13" borderId="27" xfId="10" applyFont="1" applyFill="1" applyBorder="1"/>
    <xf numFmtId="164" fontId="19" fillId="0" borderId="0" xfId="10" applyFont="1" applyAlignment="1">
      <alignment horizontal="left"/>
    </xf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6" fillId="13" borderId="0" xfId="10" applyNumberFormat="1" applyFont="1" applyFill="1" applyBorder="1" applyAlignment="1">
      <alignment horizontal="center" wrapText="1"/>
    </xf>
    <xf numFmtId="164" fontId="7" fillId="0" borderId="0" xfId="1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0" xfId="0" applyFont="1" applyAlignment="1">
      <alignment horizontal="center"/>
    </xf>
    <xf numFmtId="0" fontId="32" fillId="11" borderId="16" xfId="0" applyFont="1" applyFill="1" applyBorder="1" applyAlignment="1">
      <alignment horizontal="center" vertical="center" wrapText="1"/>
    </xf>
    <xf numFmtId="0" fontId="32" fillId="11" borderId="17" xfId="0" applyFont="1" applyFill="1" applyBorder="1" applyAlignment="1">
      <alignment horizontal="center" vertical="center" wrapText="1"/>
    </xf>
    <xf numFmtId="0" fontId="32" fillId="11" borderId="18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164" fontId="32" fillId="11" borderId="1" xfId="10" applyFont="1" applyFill="1" applyBorder="1" applyAlignment="1">
      <alignment vertical="center" wrapText="1"/>
    </xf>
    <xf numFmtId="0" fontId="44" fillId="0" borderId="0" xfId="0" applyFont="1" applyAlignment="1">
      <alignment horizontal="center"/>
    </xf>
    <xf numFmtId="0" fontId="40" fillId="0" borderId="0" xfId="0" applyFont="1" applyFill="1" applyBorder="1" applyAlignment="1">
      <alignment horizontal="center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colors>
    <mruColors>
      <color rgb="FF66FFCC"/>
      <color rgb="FF3399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C"/>
              <a:t>INGRESOS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INGRESOS!$L$5:$O$5</c:f>
              <c:strCache>
                <c:ptCount val="4"/>
                <c:pt idx="0">
                  <c:v>TOTAL MEF </c:v>
                </c:pt>
                <c:pt idx="1">
                  <c:v>GASTO CORRIENTE </c:v>
                </c:pt>
                <c:pt idx="2">
                  <c:v>GASTO INVERSION</c:v>
                </c:pt>
                <c:pt idx="3">
                  <c:v>10 % GRUPOS PRIORITARIOS</c:v>
                </c:pt>
              </c:strCache>
            </c:strRef>
          </c:cat>
          <c:val>
            <c:numRef>
              <c:f>INGRESOS!$L$6:$O$6</c:f>
              <c:numCache>
                <c:formatCode>_(* #,##0.00_);_(* \(#,##0.00\);_(* "-"??_);_(@_)</c:formatCode>
                <c:ptCount val="4"/>
                <c:pt idx="0" formatCode="#,##0.00">
                  <c:v>155450.4</c:v>
                </c:pt>
                <c:pt idx="1">
                  <c:v>68000</c:v>
                </c:pt>
                <c:pt idx="2" formatCode="#,##0.00">
                  <c:v>87450.4</c:v>
                </c:pt>
                <c:pt idx="3" formatCode="General">
                  <c:v>15545.04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2-4F24-846C-8D0B3DCC16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224363880"/>
        <c:axId val="224358304"/>
      </c:barChart>
      <c:catAx>
        <c:axId val="224363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358304"/>
        <c:crosses val="autoZero"/>
        <c:auto val="1"/>
        <c:lblAlgn val="ctr"/>
        <c:lblOffset val="100"/>
        <c:noMultiLvlLbl val="0"/>
      </c:catAx>
      <c:valAx>
        <c:axId val="2243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36388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D9-44B7-8FD8-46C0782C3FC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D9-44B7-8FD8-46C0782C3FC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D9-44B7-8FD8-46C0782C3FC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D9-44B7-8FD8-46C0782C3F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D9-44B7-8FD8-46C0782C3FC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9D9-44B7-8FD8-46C0782C3FC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9D9-44B7-8FD8-46C0782C3FC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9D9-44B7-8FD8-46C0782C3FC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9D9-44B7-8FD8-46C0782C3FC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D9-44B7-8FD8-46C0782C3FC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09-4138-85B7-C3D189AD66C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09-4138-85B7-C3D189AD66C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F09-4138-85B7-C3D189AD66C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F09-4138-85B7-C3D189AD66C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F09-4138-85B7-C3D189AD66C8}"/>
              </c:ext>
            </c:extLst>
          </c:dPt>
          <c:cat>
            <c:numRef>
              <c:f>PARTICIPATIVO!$E$63:$E$77</c:f>
              <c:numCache>
                <c:formatCode>_(* #,##0.00_);_(* \(#,##0.00\);_(* "-"??_);_(@_)</c:formatCode>
                <c:ptCount val="15"/>
              </c:numCache>
            </c:numRef>
          </c:cat>
          <c:val>
            <c:numRef>
              <c:f>PARTICIPATIVO!$F$63:$F$77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14-E9D9-44B7-8FD8-46C0782C3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719536"/>
        <c:axId val="628723888"/>
      </c:barChart>
      <c:catAx>
        <c:axId val="62871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23888"/>
        <c:crosses val="autoZero"/>
        <c:auto val="1"/>
        <c:lblAlgn val="ctr"/>
        <c:lblOffset val="100"/>
        <c:noMultiLvlLbl val="0"/>
      </c:catAx>
      <c:valAx>
        <c:axId val="6287238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2871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INGRESOS Y GASTOS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DF-43C8-827A-127A69359D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DF-43C8-827A-127A69359D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Hoja2!$E$16:$E$18</c:f>
              <c:strCache>
                <c:ptCount val="3"/>
                <c:pt idx="0">
                  <c:v>INGRESOS </c:v>
                </c:pt>
                <c:pt idx="1">
                  <c:v>GASTO INVERSION</c:v>
                </c:pt>
                <c:pt idx="2">
                  <c:v>GASTO CORRIENTE</c:v>
                </c:pt>
              </c:strCache>
            </c:strRef>
          </c:cat>
          <c:val>
            <c:numRef>
              <c:f>Hoja2!$F$16:$F$18</c:f>
              <c:numCache>
                <c:formatCode>General</c:formatCode>
                <c:ptCount val="3"/>
                <c:pt idx="0" formatCode="_(* #,##0.00_);_(* \(#,##0.00\);_(* &quot;-&quot;??_);_(@_)">
                  <c:v>409328.25</c:v>
                </c:pt>
                <c:pt idx="1">
                  <c:v>295992.66499999992</c:v>
                </c:pt>
                <c:pt idx="2">
                  <c:v>66571.353999999992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DF-43C8-827A-127A6935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714640"/>
        <c:axId val="628716272"/>
      </c:barChart>
      <c:catAx>
        <c:axId val="6287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16272"/>
        <c:crosses val="autoZero"/>
        <c:auto val="1"/>
        <c:lblAlgn val="ctr"/>
        <c:lblOffset val="100"/>
        <c:noMultiLvlLbl val="0"/>
      </c:catAx>
      <c:valAx>
        <c:axId val="6287162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62871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Atención</a:t>
            </a:r>
            <a:r>
              <a:rPr lang="es-EC" baseline="0"/>
              <a:t> a Grupos Vulnerables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24759405074366"/>
          <c:y val="0.12078703703703704"/>
          <c:w val="0.85219685039370074"/>
          <c:h val="0.720956911636045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1C-475E-AF15-9D33AA732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1C-475E-AF15-9D33AA732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(Hoja2!$E$17,Hoja2!$E$21:$E$22)</c:f>
              <c:strCache>
                <c:ptCount val="3"/>
                <c:pt idx="0">
                  <c:v>GASTO INVERSION</c:v>
                </c:pt>
                <c:pt idx="1">
                  <c:v>NINOS, NIÑAS Y ADOLESCENTES</c:v>
                </c:pt>
                <c:pt idx="2">
                  <c:v>ATENCION ADULTO MAYOR</c:v>
                </c:pt>
              </c:strCache>
            </c:strRef>
          </c:cat>
          <c:val>
            <c:numRef>
              <c:f>(Hoja2!$F$17,Hoja2!$F$21:$F$22)</c:f>
              <c:numCache>
                <c:formatCode>General</c:formatCode>
                <c:ptCount val="3"/>
                <c:pt idx="0">
                  <c:v>295992.66499999992</c:v>
                </c:pt>
                <c:pt idx="1">
                  <c:v>9500</c:v>
                </c:pt>
                <c:pt idx="2">
                  <c:v>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1C-475E-AF15-9D33AA732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715728"/>
        <c:axId val="628720080"/>
      </c:barChart>
      <c:catAx>
        <c:axId val="62871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20080"/>
        <c:crosses val="autoZero"/>
        <c:auto val="1"/>
        <c:lblAlgn val="ctr"/>
        <c:lblOffset val="100"/>
        <c:noMultiLvlLbl val="0"/>
      </c:catAx>
      <c:valAx>
        <c:axId val="6287200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2871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Gastos de Inversión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B9-4271-AD62-A2A8BE79DE7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B9-4271-AD62-A2A8BE79DE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B9-4271-AD62-A2A8BE79DE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B9-4271-AD62-A2A8BE79DE7D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B9-4271-AD62-A2A8BE79DE7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3B9-4271-AD62-A2A8BE79D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Hoja2!$B$7:$B$14</c:f>
              <c:strCache>
                <c:ptCount val="8"/>
                <c:pt idx="0">
                  <c:v>Infraestructura</c:v>
                </c:pt>
                <c:pt idx="1">
                  <c:v>Mantenimiento vial</c:v>
                </c:pt>
                <c:pt idx="2">
                  <c:v>Actualización Estudios</c:v>
                </c:pt>
                <c:pt idx="3">
                  <c:v>Producción y Manejo Frutales</c:v>
                </c:pt>
                <c:pt idx="4">
                  <c:v>Identidad Cultural</c:v>
                </c:pt>
                <c:pt idx="5">
                  <c:v>Turismo</c:v>
                </c:pt>
                <c:pt idx="6">
                  <c:v>Sevicios Generales</c:v>
                </c:pt>
                <c:pt idx="7">
                  <c:v>Gastos de financiamiento</c:v>
                </c:pt>
              </c:strCache>
            </c:strRef>
          </c:cat>
          <c:val>
            <c:numRef>
              <c:f>Hoja2!$C$7:$C$14</c:f>
              <c:numCache>
                <c:formatCode>General</c:formatCode>
                <c:ptCount val="8"/>
                <c:pt idx="0">
                  <c:v>91419.26999999999</c:v>
                </c:pt>
                <c:pt idx="1">
                  <c:v>58671.81</c:v>
                </c:pt>
                <c:pt idx="2">
                  <c:v>25554.93</c:v>
                </c:pt>
                <c:pt idx="3">
                  <c:v>10000</c:v>
                </c:pt>
                <c:pt idx="4">
                  <c:v>9000</c:v>
                </c:pt>
                <c:pt idx="5">
                  <c:v>6000</c:v>
                </c:pt>
                <c:pt idx="6">
                  <c:v>9559.8449999999993</c:v>
                </c:pt>
                <c:pt idx="7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B9-4271-AD62-A2A8BE79D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710288"/>
        <c:axId val="628718992"/>
      </c:barChart>
      <c:catAx>
        <c:axId val="62871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18992"/>
        <c:crosses val="autoZero"/>
        <c:auto val="1"/>
        <c:lblAlgn val="ctr"/>
        <c:lblOffset val="100"/>
        <c:noMultiLvlLbl val="0"/>
      </c:catAx>
      <c:valAx>
        <c:axId val="6287189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2871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940593</xdr:colOff>
      <xdr:row>21</xdr:row>
      <xdr:rowOff>188119</xdr:rowOff>
    </xdr:from>
    <xdr:to>
      <xdr:col>18</xdr:col>
      <xdr:colOff>83343</xdr:colOff>
      <xdr:row>33</xdr:row>
      <xdr:rowOff>85726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80</xdr:row>
      <xdr:rowOff>166008</xdr:rowOff>
    </xdr:from>
    <xdr:to>
      <xdr:col>11</xdr:col>
      <xdr:colOff>238125</xdr:colOff>
      <xdr:row>91</xdr:row>
      <xdr:rowOff>541565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4</xdr:row>
      <xdr:rowOff>14287</xdr:rowOff>
    </xdr:from>
    <xdr:to>
      <xdr:col>12</xdr:col>
      <xdr:colOff>47625</xdr:colOff>
      <xdr:row>15</xdr:row>
      <xdr:rowOff>185737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</xdr:row>
      <xdr:rowOff>176212</xdr:rowOff>
    </xdr:from>
    <xdr:to>
      <xdr:col>10</xdr:col>
      <xdr:colOff>514350</xdr:colOff>
      <xdr:row>13</xdr:row>
      <xdr:rowOff>90487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</xdr:colOff>
      <xdr:row>0</xdr:row>
      <xdr:rowOff>0</xdr:rowOff>
    </xdr:from>
    <xdr:to>
      <xdr:col>6</xdr:col>
      <xdr:colOff>747712</xdr:colOff>
      <xdr:row>11</xdr:row>
      <xdr:rowOff>171450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PRESUPUESTOS/presupuesto%20%202010/gtz/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gtz/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R104"/>
  <sheetViews>
    <sheetView tabSelected="1" topLeftCell="A2" zoomScale="80" zoomScaleNormal="80" zoomScaleSheetLayoutView="85" workbookViewId="0">
      <selection activeCell="L37" sqref="L37"/>
    </sheetView>
  </sheetViews>
  <sheetFormatPr baseColWidth="10" defaultColWidth="11.44140625" defaultRowHeight="13.8" x14ac:dyDescent="0.25"/>
  <cols>
    <col min="1" max="1" width="14.33203125" style="94" customWidth="1"/>
    <col min="2" max="2" width="73.44140625" style="1" customWidth="1"/>
    <col min="3" max="3" width="14.44140625" style="1" hidden="1" customWidth="1"/>
    <col min="4" max="8" width="14.44140625" style="2" hidden="1" customWidth="1"/>
    <col min="9" max="9" width="17.109375" style="2" customWidth="1"/>
    <col min="10" max="10" width="16.88671875" style="4" bestFit="1" customWidth="1"/>
    <col min="11" max="11" width="16.88671875" style="4" customWidth="1"/>
    <col min="12" max="12" width="16.88671875" style="1" bestFit="1" customWidth="1"/>
    <col min="13" max="13" width="15.5546875" style="1" bestFit="1" customWidth="1"/>
    <col min="14" max="14" width="16.109375" style="1" customWidth="1"/>
    <col min="15" max="15" width="15.5546875" style="1" bestFit="1" customWidth="1"/>
    <col min="16" max="16384" width="11.44140625" style="1"/>
  </cols>
  <sheetData>
    <row r="1" spans="1:15" ht="20.399999999999999" x14ac:dyDescent="0.5">
      <c r="A1" s="453" t="s">
        <v>194</v>
      </c>
      <c r="B1" s="453"/>
      <c r="C1" s="453"/>
      <c r="D1" s="453"/>
      <c r="E1" s="453"/>
      <c r="F1" s="453"/>
      <c r="G1" s="453"/>
      <c r="H1" s="453"/>
      <c r="I1" s="453"/>
      <c r="J1" s="453"/>
      <c r="K1" s="424"/>
    </row>
    <row r="2" spans="1:15" ht="18.75" customHeight="1" x14ac:dyDescent="0.25">
      <c r="A2" s="454" t="s">
        <v>567</v>
      </c>
      <c r="B2" s="454"/>
      <c r="C2" s="454"/>
      <c r="D2" s="454"/>
      <c r="E2" s="454"/>
      <c r="F2" s="454"/>
      <c r="G2" s="454"/>
      <c r="H2" s="454"/>
      <c r="I2" s="454"/>
      <c r="J2" s="454"/>
      <c r="K2" s="425"/>
    </row>
    <row r="3" spans="1:15" ht="15" customHeight="1" x14ac:dyDescent="0.25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425"/>
    </row>
    <row r="4" spans="1:15" ht="15" customHeight="1" x14ac:dyDescent="0.25">
      <c r="A4" s="455"/>
      <c r="B4" s="455"/>
      <c r="C4" s="455"/>
      <c r="D4" s="455"/>
      <c r="E4" s="455"/>
      <c r="F4" s="455"/>
      <c r="G4" s="455"/>
      <c r="H4" s="455"/>
      <c r="I4" s="455"/>
      <c r="J4" s="455"/>
      <c r="K4" s="426"/>
    </row>
    <row r="5" spans="1:15" ht="55.2" x14ac:dyDescent="0.25">
      <c r="A5" s="380" t="s">
        <v>193</v>
      </c>
      <c r="B5" s="381" t="s">
        <v>14</v>
      </c>
      <c r="C5" s="381">
        <v>2015</v>
      </c>
      <c r="D5" s="381">
        <v>2016</v>
      </c>
      <c r="E5" s="381">
        <v>2017</v>
      </c>
      <c r="F5" s="381">
        <v>2018</v>
      </c>
      <c r="G5" s="381">
        <v>2019</v>
      </c>
      <c r="H5" s="381">
        <v>2020</v>
      </c>
      <c r="I5" s="381" t="s">
        <v>568</v>
      </c>
      <c r="J5" s="381" t="s">
        <v>569</v>
      </c>
      <c r="K5" s="427"/>
      <c r="L5" s="3" t="s">
        <v>504</v>
      </c>
      <c r="M5" s="409" t="s">
        <v>505</v>
      </c>
      <c r="N5" s="409" t="s">
        <v>483</v>
      </c>
      <c r="O5" s="409" t="s">
        <v>506</v>
      </c>
    </row>
    <row r="6" spans="1:15" s="8" customFormat="1" x14ac:dyDescent="0.25">
      <c r="A6" s="382">
        <v>1</v>
      </c>
      <c r="B6" s="383" t="s">
        <v>13</v>
      </c>
      <c r="C6" s="384">
        <f>+C22+C26</f>
        <v>53114.450000000004</v>
      </c>
      <c r="D6" s="384">
        <f>+D22+D26</f>
        <v>55002.15</v>
      </c>
      <c r="E6" s="384">
        <f>+E22+E26</f>
        <v>63135.01</v>
      </c>
      <c r="F6" s="384">
        <f>+F22+F26</f>
        <v>67064.789999999994</v>
      </c>
      <c r="G6" s="384">
        <f>+G22+G26</f>
        <v>60937.61</v>
      </c>
      <c r="H6" s="384"/>
      <c r="I6" s="384">
        <f>+I22+I26</f>
        <v>68285.36</v>
      </c>
      <c r="J6" s="385">
        <f>J22+J26</f>
        <v>68285.36</v>
      </c>
      <c r="K6" s="428"/>
      <c r="L6" s="9">
        <f>J25+J35</f>
        <v>155450.4</v>
      </c>
      <c r="M6" s="417">
        <f>J23</f>
        <v>68000</v>
      </c>
      <c r="N6" s="410">
        <f>J35</f>
        <v>87450.4</v>
      </c>
      <c r="O6" s="8">
        <f>L6*0.1</f>
        <v>15545.04</v>
      </c>
    </row>
    <row r="7" spans="1:15" s="8" customFormat="1" hidden="1" x14ac:dyDescent="0.25">
      <c r="A7" s="382"/>
      <c r="B7" s="383" t="s">
        <v>154</v>
      </c>
      <c r="C7" s="383"/>
      <c r="D7" s="385"/>
      <c r="E7" s="385"/>
      <c r="F7" s="385"/>
      <c r="G7" s="386"/>
      <c r="H7" s="386"/>
      <c r="I7" s="385"/>
      <c r="J7" s="387"/>
      <c r="K7" s="429"/>
    </row>
    <row r="8" spans="1:15" s="7" customFormat="1" hidden="1" x14ac:dyDescent="0.25">
      <c r="A8" s="388" t="s">
        <v>134</v>
      </c>
      <c r="B8" s="389" t="s">
        <v>155</v>
      </c>
      <c r="C8" s="389"/>
      <c r="D8" s="390"/>
      <c r="E8" s="390"/>
      <c r="F8" s="390"/>
      <c r="G8" s="374"/>
      <c r="H8" s="374"/>
      <c r="I8" s="390"/>
      <c r="J8" s="253"/>
      <c r="K8" s="430"/>
    </row>
    <row r="9" spans="1:15" ht="14.25" hidden="1" customHeight="1" x14ac:dyDescent="0.25">
      <c r="A9" s="391" t="s">
        <v>135</v>
      </c>
      <c r="B9" s="392" t="s">
        <v>12</v>
      </c>
      <c r="C9" s="392"/>
      <c r="D9" s="393"/>
      <c r="E9" s="393"/>
      <c r="F9" s="393"/>
      <c r="G9" s="375"/>
      <c r="H9" s="375"/>
      <c r="I9" s="393"/>
      <c r="J9" s="254"/>
      <c r="K9" s="64"/>
    </row>
    <row r="10" spans="1:15" ht="14.25" hidden="1" customHeight="1" x14ac:dyDescent="0.25">
      <c r="A10" s="394" t="s">
        <v>136</v>
      </c>
      <c r="B10" s="395" t="s">
        <v>11</v>
      </c>
      <c r="C10" s="395"/>
      <c r="D10" s="396"/>
      <c r="E10" s="396"/>
      <c r="F10" s="396"/>
      <c r="G10" s="375"/>
      <c r="H10" s="375"/>
      <c r="I10" s="396"/>
      <c r="J10" s="254"/>
      <c r="K10" s="64"/>
    </row>
    <row r="11" spans="1:15" ht="14.25" hidden="1" customHeight="1" x14ac:dyDescent="0.25">
      <c r="A11" s="394" t="s">
        <v>137</v>
      </c>
      <c r="B11" s="395" t="s">
        <v>10</v>
      </c>
      <c r="C11" s="395"/>
      <c r="D11" s="396"/>
      <c r="E11" s="396"/>
      <c r="F11" s="396"/>
      <c r="G11" s="375"/>
      <c r="H11" s="375"/>
      <c r="I11" s="396"/>
      <c r="J11" s="254"/>
      <c r="K11" s="64"/>
    </row>
    <row r="12" spans="1:15" s="7" customFormat="1" hidden="1" x14ac:dyDescent="0.25">
      <c r="A12" s="388" t="s">
        <v>138</v>
      </c>
      <c r="B12" s="389" t="s">
        <v>156</v>
      </c>
      <c r="C12" s="389"/>
      <c r="D12" s="390"/>
      <c r="E12" s="390"/>
      <c r="F12" s="390"/>
      <c r="G12" s="374"/>
      <c r="H12" s="374"/>
      <c r="I12" s="390"/>
      <c r="J12" s="253"/>
      <c r="K12" s="430"/>
    </row>
    <row r="13" spans="1:15" hidden="1" x14ac:dyDescent="0.25">
      <c r="A13" s="397" t="s">
        <v>139</v>
      </c>
      <c r="B13" s="392" t="s">
        <v>9</v>
      </c>
      <c r="C13" s="392"/>
      <c r="D13" s="396"/>
      <c r="E13" s="396"/>
      <c r="F13" s="396"/>
      <c r="G13" s="375"/>
      <c r="H13" s="375"/>
      <c r="I13" s="396"/>
      <c r="J13" s="254"/>
      <c r="K13" s="64"/>
    </row>
    <row r="14" spans="1:15" hidden="1" x14ac:dyDescent="0.25">
      <c r="A14" s="398" t="s">
        <v>140</v>
      </c>
      <c r="B14" s="395" t="s">
        <v>157</v>
      </c>
      <c r="C14" s="395"/>
      <c r="D14" s="396"/>
      <c r="E14" s="396"/>
      <c r="F14" s="396"/>
      <c r="G14" s="375"/>
      <c r="H14" s="375"/>
      <c r="I14" s="396"/>
      <c r="J14" s="254"/>
      <c r="K14" s="64"/>
    </row>
    <row r="15" spans="1:15" hidden="1" x14ac:dyDescent="0.25">
      <c r="A15" s="398" t="s">
        <v>158</v>
      </c>
      <c r="B15" s="395" t="s">
        <v>73</v>
      </c>
      <c r="C15" s="395"/>
      <c r="D15" s="396"/>
      <c r="E15" s="396"/>
      <c r="F15" s="396"/>
      <c r="G15" s="375"/>
      <c r="H15" s="375"/>
      <c r="I15" s="396"/>
      <c r="J15" s="254"/>
      <c r="K15" s="64"/>
      <c r="L15" s="97"/>
      <c r="M15" s="97"/>
      <c r="N15" s="97"/>
      <c r="O15" s="97"/>
    </row>
    <row r="16" spans="1:15" x14ac:dyDescent="0.25">
      <c r="A16" s="398"/>
      <c r="B16" s="383" t="s">
        <v>159</v>
      </c>
      <c r="C16" s="383"/>
      <c r="D16" s="396"/>
      <c r="E16" s="396"/>
      <c r="F16" s="396"/>
      <c r="G16" s="375"/>
      <c r="H16" s="375"/>
      <c r="I16" s="396"/>
      <c r="J16" s="254"/>
      <c r="K16" s="64"/>
      <c r="L16" s="97"/>
      <c r="M16" s="97"/>
      <c r="N16" s="97"/>
      <c r="O16" s="97"/>
    </row>
    <row r="17" spans="1:18" s="7" customFormat="1" ht="15.75" hidden="1" customHeight="1" x14ac:dyDescent="0.25">
      <c r="A17" s="388" t="s">
        <v>141</v>
      </c>
      <c r="B17" s="389" t="s">
        <v>160</v>
      </c>
      <c r="C17" s="389"/>
      <c r="D17" s="390"/>
      <c r="E17" s="390"/>
      <c r="F17" s="390"/>
      <c r="G17" s="374"/>
      <c r="H17" s="374"/>
      <c r="I17" s="390"/>
      <c r="J17" s="253"/>
      <c r="K17" s="430"/>
    </row>
    <row r="18" spans="1:18" s="7" customFormat="1" ht="15.75" hidden="1" customHeight="1" x14ac:dyDescent="0.25">
      <c r="A18" s="397" t="s">
        <v>161</v>
      </c>
      <c r="B18" s="392" t="s">
        <v>162</v>
      </c>
      <c r="C18" s="392"/>
      <c r="D18" s="390"/>
      <c r="E18" s="390"/>
      <c r="F18" s="390"/>
      <c r="G18" s="374"/>
      <c r="H18" s="374"/>
      <c r="I18" s="390"/>
      <c r="J18" s="253"/>
      <c r="K18" s="430"/>
    </row>
    <row r="19" spans="1:18" s="7" customFormat="1" ht="15.75" hidden="1" customHeight="1" x14ac:dyDescent="0.25">
      <c r="A19" s="398" t="s">
        <v>163</v>
      </c>
      <c r="B19" s="395" t="s">
        <v>164</v>
      </c>
      <c r="C19" s="395"/>
      <c r="D19" s="390"/>
      <c r="E19" s="390"/>
      <c r="F19" s="390"/>
      <c r="G19" s="374"/>
      <c r="H19" s="374"/>
      <c r="I19" s="390"/>
      <c r="J19" s="253"/>
      <c r="K19" s="430"/>
    </row>
    <row r="20" spans="1:18" s="2" customFormat="1" ht="15.75" hidden="1" customHeight="1" x14ac:dyDescent="0.25">
      <c r="A20" s="397" t="s">
        <v>142</v>
      </c>
      <c r="B20" s="392" t="s">
        <v>8</v>
      </c>
      <c r="C20" s="392"/>
      <c r="D20" s="393"/>
      <c r="E20" s="393"/>
      <c r="F20" s="393"/>
      <c r="G20" s="375"/>
      <c r="H20" s="375"/>
      <c r="I20" s="393"/>
      <c r="J20" s="256"/>
      <c r="K20" s="431"/>
      <c r="L20" s="9"/>
    </row>
    <row r="21" spans="1:18" ht="15" hidden="1" customHeight="1" x14ac:dyDescent="0.25">
      <c r="A21" s="398" t="s">
        <v>143</v>
      </c>
      <c r="B21" s="395" t="s">
        <v>7</v>
      </c>
      <c r="C21" s="395"/>
      <c r="D21" s="396"/>
      <c r="E21" s="396"/>
      <c r="F21" s="396"/>
      <c r="G21" s="375"/>
      <c r="H21" s="375"/>
      <c r="I21" s="396"/>
      <c r="J21" s="254"/>
      <c r="K21" s="64"/>
    </row>
    <row r="22" spans="1:18" s="7" customFormat="1" x14ac:dyDescent="0.25">
      <c r="A22" s="388">
        <v>1.8</v>
      </c>
      <c r="B22" s="389" t="s">
        <v>165</v>
      </c>
      <c r="C22" s="390">
        <f t="shared" ref="C22:F22" si="0">+C23</f>
        <v>51540.54</v>
      </c>
      <c r="D22" s="390">
        <f t="shared" si="0"/>
        <v>54045.15</v>
      </c>
      <c r="E22" s="390">
        <f t="shared" si="0"/>
        <v>62465.01</v>
      </c>
      <c r="F22" s="390">
        <f t="shared" si="0"/>
        <v>66416.67</v>
      </c>
      <c r="G22" s="374">
        <v>60744.42</v>
      </c>
      <c r="H22" s="374"/>
      <c r="I22" s="390">
        <f>I23</f>
        <v>68000</v>
      </c>
      <c r="J22" s="390">
        <f>J23</f>
        <v>68000</v>
      </c>
      <c r="K22" s="432"/>
    </row>
    <row r="23" spans="1:18" s="7" customFormat="1" ht="27.6" x14ac:dyDescent="0.25">
      <c r="A23" s="397" t="s">
        <v>172</v>
      </c>
      <c r="B23" s="392" t="s">
        <v>173</v>
      </c>
      <c r="C23" s="393">
        <f t="shared" ref="C23:G23" si="1">+C24+C25</f>
        <v>51540.54</v>
      </c>
      <c r="D23" s="393">
        <f t="shared" si="1"/>
        <v>54045.15</v>
      </c>
      <c r="E23" s="393">
        <f t="shared" si="1"/>
        <v>62465.01</v>
      </c>
      <c r="F23" s="393">
        <f t="shared" si="1"/>
        <v>66416.67</v>
      </c>
      <c r="G23" s="393">
        <f t="shared" si="1"/>
        <v>60744.42</v>
      </c>
      <c r="H23" s="393"/>
      <c r="I23" s="393">
        <f>I25</f>
        <v>68000</v>
      </c>
      <c r="J23" s="393">
        <f>J25</f>
        <v>68000</v>
      </c>
      <c r="K23" s="433"/>
    </row>
    <row r="24" spans="1:18" s="7" customFormat="1" x14ac:dyDescent="0.25">
      <c r="A24" s="398" t="s">
        <v>198</v>
      </c>
      <c r="B24" s="395" t="s">
        <v>199</v>
      </c>
      <c r="C24" s="395"/>
      <c r="D24" s="396"/>
      <c r="E24" s="396"/>
      <c r="F24" s="396"/>
      <c r="G24" s="374"/>
      <c r="H24" s="374"/>
      <c r="I24" s="396">
        <f ca="1">-I24</f>
        <v>0</v>
      </c>
      <c r="J24" s="257"/>
      <c r="K24" s="434"/>
    </row>
    <row r="25" spans="1:18" s="2" customFormat="1" ht="16.5" customHeight="1" x14ac:dyDescent="0.25">
      <c r="A25" s="398" t="s">
        <v>166</v>
      </c>
      <c r="B25" s="395" t="s">
        <v>167</v>
      </c>
      <c r="C25" s="395">
        <v>51540.54</v>
      </c>
      <c r="D25" s="396">
        <v>54045.15</v>
      </c>
      <c r="E25" s="396">
        <v>62465.01</v>
      </c>
      <c r="F25" s="396">
        <v>66416.67</v>
      </c>
      <c r="G25" s="375">
        <v>60744.42</v>
      </c>
      <c r="H25" s="375"/>
      <c r="I25" s="396">
        <v>68000</v>
      </c>
      <c r="J25" s="396">
        <v>68000</v>
      </c>
      <c r="K25" s="435"/>
    </row>
    <row r="26" spans="1:18" s="7" customFormat="1" x14ac:dyDescent="0.25">
      <c r="A26" s="388">
        <v>1.9</v>
      </c>
      <c r="B26" s="389" t="s">
        <v>168</v>
      </c>
      <c r="C26" s="399">
        <f>+C27</f>
        <v>1573.91</v>
      </c>
      <c r="D26" s="390">
        <f t="shared" ref="C26:E27" si="2">+D27</f>
        <v>957</v>
      </c>
      <c r="E26" s="390">
        <f t="shared" si="2"/>
        <v>670</v>
      </c>
      <c r="F26" s="390">
        <f>+F27</f>
        <v>648.12</v>
      </c>
      <c r="G26" s="390">
        <f>G27</f>
        <v>193.19</v>
      </c>
      <c r="H26" s="390"/>
      <c r="I26" s="390">
        <f>+I27</f>
        <v>285.36</v>
      </c>
      <c r="J26" s="390">
        <f t="shared" ref="J26:J27" si="3">J27</f>
        <v>285.36</v>
      </c>
      <c r="K26" s="432"/>
      <c r="L26" s="339"/>
    </row>
    <row r="27" spans="1:18" s="3" customFormat="1" x14ac:dyDescent="0.25">
      <c r="A27" s="397" t="s">
        <v>144</v>
      </c>
      <c r="B27" s="392" t="s">
        <v>380</v>
      </c>
      <c r="C27" s="393">
        <f t="shared" si="2"/>
        <v>1573.91</v>
      </c>
      <c r="D27" s="393">
        <f t="shared" si="2"/>
        <v>957</v>
      </c>
      <c r="E27" s="393">
        <f t="shared" si="2"/>
        <v>670</v>
      </c>
      <c r="F27" s="393">
        <f>+F28</f>
        <v>648.12</v>
      </c>
      <c r="G27" s="78">
        <f>G28</f>
        <v>193.19</v>
      </c>
      <c r="H27" s="78"/>
      <c r="I27" s="393">
        <f>I28</f>
        <v>285.36</v>
      </c>
      <c r="J27" s="393">
        <f t="shared" si="3"/>
        <v>285.36</v>
      </c>
      <c r="K27" s="433"/>
    </row>
    <row r="28" spans="1:18" x14ac:dyDescent="0.25">
      <c r="A28" s="398" t="s">
        <v>145</v>
      </c>
      <c r="B28" s="395" t="s">
        <v>5</v>
      </c>
      <c r="C28" s="395">
        <v>1573.91</v>
      </c>
      <c r="D28" s="396">
        <v>957</v>
      </c>
      <c r="E28" s="396">
        <v>670</v>
      </c>
      <c r="F28" s="396">
        <v>648.12</v>
      </c>
      <c r="G28" s="375">
        <v>193.19</v>
      </c>
      <c r="H28" s="375">
        <v>46.96</v>
      </c>
      <c r="I28" s="396">
        <v>285.36</v>
      </c>
      <c r="J28" s="396">
        <v>285.36</v>
      </c>
      <c r="K28" s="435"/>
    </row>
    <row r="29" spans="1:18" s="2" customFormat="1" x14ac:dyDescent="0.25">
      <c r="A29" s="382">
        <v>2</v>
      </c>
      <c r="B29" s="383" t="s">
        <v>4</v>
      </c>
      <c r="C29" s="385">
        <f>+C30</f>
        <v>126954.71</v>
      </c>
      <c r="D29" s="385">
        <f t="shared" ref="D29:E29" si="4">+D30</f>
        <v>134314.5</v>
      </c>
      <c r="E29" s="385">
        <f t="shared" si="4"/>
        <v>182672.27</v>
      </c>
      <c r="F29" s="385">
        <f>+F30</f>
        <v>122297.60000000001</v>
      </c>
      <c r="G29" s="385">
        <f>G30</f>
        <v>0</v>
      </c>
      <c r="H29" s="385"/>
      <c r="I29" s="385">
        <f>I30</f>
        <v>193009.27999999997</v>
      </c>
      <c r="J29" s="385">
        <f>J30</f>
        <v>294642.16000000003</v>
      </c>
      <c r="K29" s="428"/>
      <c r="L29" s="5"/>
    </row>
    <row r="30" spans="1:18" s="2" customFormat="1" ht="27.6" x14ac:dyDescent="0.25">
      <c r="A30" s="388">
        <v>2.8</v>
      </c>
      <c r="B30" s="389" t="s">
        <v>169</v>
      </c>
      <c r="C30" s="390">
        <f t="shared" ref="C30:F30" si="5">+C31+C34+C36</f>
        <v>126954.71</v>
      </c>
      <c r="D30" s="390">
        <f t="shared" si="5"/>
        <v>134314.5</v>
      </c>
      <c r="E30" s="390">
        <f t="shared" si="5"/>
        <v>182672.27</v>
      </c>
      <c r="F30" s="390">
        <f t="shared" si="5"/>
        <v>122297.60000000001</v>
      </c>
      <c r="G30" s="390"/>
      <c r="H30" s="390"/>
      <c r="I30" s="390">
        <f>I31+I34+I36</f>
        <v>193009.27999999997</v>
      </c>
      <c r="J30" s="390">
        <f>J34+J36+J31</f>
        <v>294642.16000000003</v>
      </c>
      <c r="K30" s="432"/>
      <c r="L30" s="9"/>
    </row>
    <row r="31" spans="1:18" s="2" customFormat="1" x14ac:dyDescent="0.25">
      <c r="A31" s="397" t="s">
        <v>146</v>
      </c>
      <c r="B31" s="392" t="s">
        <v>147</v>
      </c>
      <c r="C31" s="393">
        <f>+C33</f>
        <v>42000</v>
      </c>
      <c r="D31" s="393">
        <f>+D33</f>
        <v>41914.339999999997</v>
      </c>
      <c r="E31" s="393">
        <f t="shared" ref="E31:F31" si="6">+E33</f>
        <v>41414.339999999997</v>
      </c>
      <c r="F31" s="393">
        <f t="shared" si="6"/>
        <v>0</v>
      </c>
      <c r="G31" s="393"/>
      <c r="H31" s="393"/>
      <c r="I31" s="393">
        <f>I32+I33</f>
        <v>95064.83</v>
      </c>
      <c r="J31" s="393">
        <f>J32+J33</f>
        <v>198191.76</v>
      </c>
      <c r="K31" s="433"/>
      <c r="N31" s="9"/>
      <c r="R31" s="9"/>
    </row>
    <row r="32" spans="1:18" s="2" customFormat="1" x14ac:dyDescent="0.25">
      <c r="A32" s="398" t="s">
        <v>304</v>
      </c>
      <c r="B32" s="395" t="s">
        <v>305</v>
      </c>
      <c r="C32" s="395"/>
      <c r="D32" s="396">
        <v>0</v>
      </c>
      <c r="E32" s="396"/>
      <c r="F32" s="396"/>
      <c r="G32" s="396"/>
      <c r="H32" s="396"/>
      <c r="I32" s="376">
        <v>12783.76</v>
      </c>
      <c r="J32" s="400">
        <v>12783.76</v>
      </c>
      <c r="K32" s="436"/>
    </row>
    <row r="33" spans="1:15" s="2" customFormat="1" x14ac:dyDescent="0.25">
      <c r="A33" s="398" t="s">
        <v>171</v>
      </c>
      <c r="B33" s="395" t="s">
        <v>381</v>
      </c>
      <c r="C33" s="395">
        <v>42000</v>
      </c>
      <c r="D33" s="396">
        <v>41914.339999999997</v>
      </c>
      <c r="E33" s="396">
        <v>41414.339999999997</v>
      </c>
      <c r="F33" s="396">
        <v>0</v>
      </c>
      <c r="G33" s="396"/>
      <c r="H33" s="396"/>
      <c r="I33" s="376">
        <v>82281.070000000007</v>
      </c>
      <c r="J33" s="406">
        <v>185408</v>
      </c>
      <c r="K33" s="437"/>
    </row>
    <row r="34" spans="1:15" s="2" customFormat="1" ht="30" customHeight="1" x14ac:dyDescent="0.25">
      <c r="A34" s="397" t="s">
        <v>148</v>
      </c>
      <c r="B34" s="401" t="s">
        <v>149</v>
      </c>
      <c r="C34" s="393">
        <f t="shared" ref="C34:F34" si="7">+C35</f>
        <v>84954.71</v>
      </c>
      <c r="D34" s="393">
        <f t="shared" si="7"/>
        <v>86800.16</v>
      </c>
      <c r="E34" s="393">
        <f t="shared" si="7"/>
        <v>93691.65</v>
      </c>
      <c r="F34" s="393">
        <f t="shared" si="7"/>
        <v>93791.52</v>
      </c>
      <c r="G34" s="393">
        <f>G35</f>
        <v>87412.93</v>
      </c>
      <c r="H34" s="393"/>
      <c r="I34" s="393">
        <f>I35</f>
        <v>87450.4</v>
      </c>
      <c r="J34" s="393">
        <f>J35</f>
        <v>87450.4</v>
      </c>
      <c r="K34" s="433"/>
    </row>
    <row r="35" spans="1:15" s="2" customFormat="1" ht="15.75" customHeight="1" x14ac:dyDescent="0.25">
      <c r="A35" s="398" t="s">
        <v>170</v>
      </c>
      <c r="B35" s="395" t="s">
        <v>167</v>
      </c>
      <c r="C35" s="395">
        <v>84954.71</v>
      </c>
      <c r="D35" s="396">
        <v>86800.16</v>
      </c>
      <c r="E35" s="396">
        <v>93691.65</v>
      </c>
      <c r="F35" s="396">
        <v>93791.52</v>
      </c>
      <c r="G35" s="396">
        <v>87412.93</v>
      </c>
      <c r="H35" s="396"/>
      <c r="I35" s="344">
        <v>87450.4</v>
      </c>
      <c r="J35" s="447">
        <v>87450.4</v>
      </c>
      <c r="K35" s="446"/>
    </row>
    <row r="36" spans="1:15" ht="27" customHeight="1" x14ac:dyDescent="0.25">
      <c r="A36" s="397" t="s">
        <v>382</v>
      </c>
      <c r="B36" s="378" t="s">
        <v>451</v>
      </c>
      <c r="C36" s="393">
        <f>+C37</f>
        <v>0</v>
      </c>
      <c r="D36" s="393">
        <f>+D37</f>
        <v>5600</v>
      </c>
      <c r="E36" s="393">
        <f t="shared" ref="E36:F36" si="8">+E37</f>
        <v>47566.28</v>
      </c>
      <c r="F36" s="393">
        <f t="shared" si="8"/>
        <v>28506.080000000002</v>
      </c>
      <c r="G36" s="393">
        <f>G37</f>
        <v>9264.11</v>
      </c>
      <c r="H36" s="393"/>
      <c r="I36" s="345">
        <f>I37</f>
        <v>10494.05</v>
      </c>
      <c r="J36" s="393">
        <f>J37</f>
        <v>9000</v>
      </c>
      <c r="K36" s="433"/>
    </row>
    <row r="37" spans="1:15" ht="16.5" customHeight="1" x14ac:dyDescent="0.25">
      <c r="A37" s="398" t="s">
        <v>383</v>
      </c>
      <c r="B37" s="379" t="s">
        <v>452</v>
      </c>
      <c r="C37" s="379"/>
      <c r="D37" s="396">
        <v>5600</v>
      </c>
      <c r="E37" s="396">
        <v>47566.28</v>
      </c>
      <c r="F37" s="396">
        <v>28506.080000000002</v>
      </c>
      <c r="G37" s="396">
        <v>9264.11</v>
      </c>
      <c r="H37" s="396"/>
      <c r="I37" s="344">
        <v>10494.05</v>
      </c>
      <c r="J37" s="396">
        <v>9000</v>
      </c>
      <c r="K37" s="435"/>
    </row>
    <row r="38" spans="1:15" ht="16.5" customHeight="1" x14ac:dyDescent="0.25">
      <c r="A38" s="398"/>
      <c r="B38" s="395"/>
      <c r="C38" s="395"/>
      <c r="D38" s="396"/>
      <c r="E38" s="396"/>
      <c r="F38" s="396"/>
      <c r="G38" s="396"/>
      <c r="H38" s="396"/>
      <c r="I38" s="396"/>
      <c r="J38" s="258"/>
      <c r="K38" s="438"/>
      <c r="N38" s="4"/>
    </row>
    <row r="39" spans="1:15" s="8" customFormat="1" ht="21.75" customHeight="1" x14ac:dyDescent="0.25">
      <c r="A39" s="383">
        <v>3</v>
      </c>
      <c r="B39" s="383" t="s">
        <v>3</v>
      </c>
      <c r="C39" s="402">
        <f ca="1">+C40+C45</f>
        <v>99010.91</v>
      </c>
      <c r="D39" s="402">
        <f t="shared" ref="D39:F39" ca="1" si="9">+D40+D45</f>
        <v>25656.22</v>
      </c>
      <c r="E39" s="402">
        <f t="shared" ca="1" si="9"/>
        <v>25656.22</v>
      </c>
      <c r="F39" s="402">
        <f t="shared" ca="1" si="9"/>
        <v>25656.22</v>
      </c>
      <c r="G39" s="402">
        <f>G40+G45</f>
        <v>19865.34</v>
      </c>
      <c r="H39" s="402"/>
      <c r="I39" s="402">
        <f>I40+I45</f>
        <v>22022.14</v>
      </c>
      <c r="J39" s="402">
        <f>J40+J45</f>
        <v>46400.729999999996</v>
      </c>
      <c r="K39" s="439"/>
      <c r="M39" s="417"/>
    </row>
    <row r="40" spans="1:15" s="7" customFormat="1" ht="31.5" customHeight="1" x14ac:dyDescent="0.25">
      <c r="A40" s="388">
        <v>3.7</v>
      </c>
      <c r="B40" s="389" t="s">
        <v>2</v>
      </c>
      <c r="C40" s="403">
        <f t="shared" ref="C40:F40" si="10">+C41</f>
        <v>98410.91</v>
      </c>
      <c r="D40" s="403">
        <f t="shared" si="10"/>
        <v>0</v>
      </c>
      <c r="E40" s="403">
        <f t="shared" si="10"/>
        <v>0</v>
      </c>
      <c r="F40" s="403">
        <f t="shared" si="10"/>
        <v>0</v>
      </c>
      <c r="G40" s="403">
        <f t="shared" ref="G40:J41" si="11">G41</f>
        <v>9703.2199999999993</v>
      </c>
      <c r="H40" s="403"/>
      <c r="I40" s="403">
        <f t="shared" si="11"/>
        <v>9067.94</v>
      </c>
      <c r="J40" s="403">
        <f t="shared" si="11"/>
        <v>33446.53</v>
      </c>
      <c r="K40" s="440"/>
    </row>
    <row r="41" spans="1:15" s="7" customFormat="1" ht="16.5" customHeight="1" x14ac:dyDescent="0.25">
      <c r="A41" s="397" t="s">
        <v>150</v>
      </c>
      <c r="B41" s="392" t="s">
        <v>1</v>
      </c>
      <c r="C41" s="404">
        <f>+C42</f>
        <v>98410.91</v>
      </c>
      <c r="D41" s="404">
        <f>+D42</f>
        <v>0</v>
      </c>
      <c r="E41" s="404"/>
      <c r="F41" s="404"/>
      <c r="G41" s="404">
        <f t="shared" si="11"/>
        <v>9703.2199999999993</v>
      </c>
      <c r="H41" s="404"/>
      <c r="I41" s="404">
        <f t="shared" si="11"/>
        <v>9067.94</v>
      </c>
      <c r="J41" s="404">
        <f t="shared" si="11"/>
        <v>33446.53</v>
      </c>
      <c r="K41" s="441"/>
    </row>
    <row r="42" spans="1:15" s="7" customFormat="1" ht="16.5" customHeight="1" x14ac:dyDescent="0.25">
      <c r="A42" s="398" t="s">
        <v>299</v>
      </c>
      <c r="B42" s="395" t="s">
        <v>300</v>
      </c>
      <c r="C42" s="395">
        <v>98410.91</v>
      </c>
      <c r="D42" s="396">
        <v>0</v>
      </c>
      <c r="E42" s="396">
        <v>0</v>
      </c>
      <c r="F42" s="396">
        <v>0</v>
      </c>
      <c r="G42" s="396">
        <v>9703.2199999999993</v>
      </c>
      <c r="H42" s="396"/>
      <c r="I42" s="344">
        <v>9067.94</v>
      </c>
      <c r="J42" s="407">
        <v>33446.53</v>
      </c>
      <c r="K42" s="442"/>
      <c r="M42" s="339"/>
    </row>
    <row r="43" spans="1:15" ht="16.5" customHeight="1" x14ac:dyDescent="0.25">
      <c r="A43" s="398" t="s">
        <v>294</v>
      </c>
      <c r="B43" s="395" t="s">
        <v>196</v>
      </c>
      <c r="C43" s="395"/>
      <c r="D43" s="396"/>
      <c r="E43" s="396"/>
      <c r="F43" s="396"/>
      <c r="G43" s="396"/>
      <c r="H43" s="396"/>
      <c r="I43" s="344">
        <f ca="1">-I43</f>
        <v>0</v>
      </c>
      <c r="J43" s="405" t="s">
        <v>502</v>
      </c>
      <c r="K43" s="443"/>
    </row>
    <row r="44" spans="1:15" ht="16.5" customHeight="1" x14ac:dyDescent="0.25">
      <c r="A44" s="398"/>
      <c r="B44" s="395"/>
      <c r="C44" s="395"/>
      <c r="D44" s="396"/>
      <c r="E44" s="396"/>
      <c r="F44" s="396"/>
      <c r="G44" s="396"/>
      <c r="H44" s="396"/>
      <c r="I44" s="396"/>
      <c r="J44" s="258"/>
      <c r="K44" s="438"/>
    </row>
    <row r="45" spans="1:15" ht="16.5" customHeight="1" x14ac:dyDescent="0.25">
      <c r="A45" s="388">
        <v>3.8</v>
      </c>
      <c r="B45" s="389" t="s">
        <v>151</v>
      </c>
      <c r="C45" s="399">
        <f t="shared" ref="C45:F45" ca="1" si="12">+C46</f>
        <v>600</v>
      </c>
      <c r="D45" s="399">
        <f t="shared" ca="1" si="12"/>
        <v>0</v>
      </c>
      <c r="E45" s="399">
        <f t="shared" ca="1" si="12"/>
        <v>245807.28</v>
      </c>
      <c r="F45" s="399">
        <f t="shared" ca="1" si="12"/>
        <v>245807.28</v>
      </c>
      <c r="G45" s="399">
        <f t="shared" ref="G45:J46" si="13">G46</f>
        <v>10162.120000000001</v>
      </c>
      <c r="H45" s="399"/>
      <c r="I45" s="399">
        <f t="shared" si="13"/>
        <v>12954.2</v>
      </c>
      <c r="J45" s="399">
        <f t="shared" si="13"/>
        <v>12954.2</v>
      </c>
      <c r="K45" s="444"/>
    </row>
    <row r="46" spans="1:15" ht="16.5" customHeight="1" x14ac:dyDescent="0.25">
      <c r="A46" s="397" t="s">
        <v>152</v>
      </c>
      <c r="B46" s="392" t="s">
        <v>151</v>
      </c>
      <c r="C46" s="393">
        <f ca="1">SUM(C47:C51)</f>
        <v>600</v>
      </c>
      <c r="D46" s="393">
        <f ca="1">SUM(D47:D51)</f>
        <v>0</v>
      </c>
      <c r="E46" s="393">
        <f ca="1">SUM(E47:E51)</f>
        <v>245807.28</v>
      </c>
      <c r="F46" s="393">
        <f ca="1">SUM(F47:F51)</f>
        <v>189362.39</v>
      </c>
      <c r="G46" s="393">
        <f t="shared" si="13"/>
        <v>10162.120000000001</v>
      </c>
      <c r="H46" s="393"/>
      <c r="I46" s="393">
        <f t="shared" si="13"/>
        <v>12954.2</v>
      </c>
      <c r="J46" s="393">
        <f t="shared" si="13"/>
        <v>12954.2</v>
      </c>
      <c r="K46" s="433"/>
      <c r="O46" s="1" t="s">
        <v>334</v>
      </c>
    </row>
    <row r="47" spans="1:15" ht="16.5" customHeight="1" x14ac:dyDescent="0.25">
      <c r="A47" s="398" t="s">
        <v>153</v>
      </c>
      <c r="B47" s="395" t="s">
        <v>537</v>
      </c>
      <c r="C47" s="395">
        <v>600</v>
      </c>
      <c r="D47" s="396">
        <v>0</v>
      </c>
      <c r="E47" s="396">
        <v>0</v>
      </c>
      <c r="F47" s="396">
        <v>0</v>
      </c>
      <c r="G47" s="396">
        <v>10162.120000000001</v>
      </c>
      <c r="H47" s="435"/>
      <c r="I47" s="340">
        <v>12954.2</v>
      </c>
      <c r="J47" s="258">
        <v>12954.2</v>
      </c>
      <c r="K47" s="438"/>
    </row>
    <row r="48" spans="1:15" ht="15.75" customHeight="1" x14ac:dyDescent="0.25">
      <c r="A48" s="254"/>
      <c r="B48" s="254"/>
      <c r="C48" s="254"/>
      <c r="D48" s="396"/>
      <c r="E48" s="396"/>
      <c r="F48" s="396"/>
      <c r="G48" s="396"/>
      <c r="H48" s="396"/>
      <c r="I48" s="396"/>
      <c r="J48" s="254"/>
      <c r="K48" s="64"/>
    </row>
    <row r="49" spans="1:15" x14ac:dyDescent="0.25">
      <c r="A49" s="254"/>
      <c r="B49" s="254" t="s">
        <v>16</v>
      </c>
      <c r="C49" s="342">
        <f ca="1">+C39+C29+C6</f>
        <v>244706.86</v>
      </c>
      <c r="D49" s="342">
        <f ca="1">+D39+D29+D6</f>
        <v>244706.86</v>
      </c>
      <c r="E49" s="342">
        <f ca="1">+E39+E29+E6</f>
        <v>245807.28</v>
      </c>
      <c r="F49" s="342">
        <f ca="1">+F39+F29+F6</f>
        <v>245807.28</v>
      </c>
      <c r="G49" s="342"/>
      <c r="H49" s="342"/>
      <c r="I49" s="377">
        <f>I29+I6+I39</f>
        <v>283316.77999999997</v>
      </c>
      <c r="J49" s="377">
        <f>J39+J6+J29</f>
        <v>409328.25</v>
      </c>
      <c r="K49" s="445"/>
    </row>
    <row r="50" spans="1:15" x14ac:dyDescent="0.25">
      <c r="A50" s="254"/>
      <c r="B50" s="254"/>
      <c r="C50" s="254"/>
      <c r="D50" s="396"/>
      <c r="E50" s="396"/>
      <c r="F50" s="396"/>
      <c r="G50" s="396"/>
      <c r="H50" s="396"/>
      <c r="I50" s="396"/>
      <c r="J50" s="254"/>
      <c r="K50" s="64"/>
    </row>
    <row r="51" spans="1:15" ht="15" hidden="1" customHeight="1" x14ac:dyDescent="0.25">
      <c r="A51" s="255" t="s">
        <v>153</v>
      </c>
      <c r="B51" s="102" t="s">
        <v>445</v>
      </c>
      <c r="C51" s="102"/>
      <c r="D51" s="103"/>
      <c r="E51" s="103"/>
      <c r="F51" s="103"/>
      <c r="G51" s="103"/>
      <c r="H51" s="103"/>
      <c r="I51" s="103"/>
      <c r="J51" s="254"/>
      <c r="K51" s="64"/>
    </row>
    <row r="52" spans="1:15" s="3" customFormat="1" ht="15" hidden="1" customHeight="1" x14ac:dyDescent="0.3">
      <c r="A52" s="259"/>
      <c r="B52" s="101" t="s">
        <v>0</v>
      </c>
      <c r="C52" s="341">
        <f ca="1">+C39+C29+C6</f>
        <v>279080.07</v>
      </c>
      <c r="D52" s="341">
        <f ca="1">+D39+D29+D6</f>
        <v>189316.65</v>
      </c>
      <c r="E52" s="341">
        <f ca="1">+E39+E29+E6</f>
        <v>245807.28</v>
      </c>
      <c r="F52" s="341">
        <f ca="1">+F39+F29+F6</f>
        <v>189362.39</v>
      </c>
      <c r="G52" s="341"/>
      <c r="H52" s="341"/>
      <c r="I52" s="341" t="e">
        <f>+I39+I29+#REF!</f>
        <v>#REF!</v>
      </c>
      <c r="J52" s="341">
        <f>+J39+J29+J6</f>
        <v>409328.25</v>
      </c>
      <c r="K52" s="408"/>
    </row>
    <row r="53" spans="1:15" ht="15" hidden="1" customHeight="1" x14ac:dyDescent="0.25">
      <c r="D53" s="5"/>
      <c r="E53" s="5"/>
      <c r="F53" s="5"/>
      <c r="G53" s="5"/>
      <c r="H53" s="5"/>
      <c r="I53" s="5"/>
    </row>
    <row r="54" spans="1:15" ht="15" hidden="1" customHeight="1" x14ac:dyDescent="0.25">
      <c r="D54" s="5"/>
      <c r="E54" s="5"/>
      <c r="F54" s="5"/>
      <c r="G54" s="5"/>
      <c r="H54" s="5"/>
      <c r="I54" s="5"/>
    </row>
    <row r="55" spans="1:15" x14ac:dyDescent="0.25">
      <c r="D55" s="5"/>
      <c r="E55" s="5"/>
      <c r="F55" s="5"/>
      <c r="G55" s="5"/>
      <c r="H55" s="5"/>
      <c r="I55" s="5"/>
    </row>
    <row r="56" spans="1:15" x14ac:dyDescent="0.25">
      <c r="B56" s="263" t="s">
        <v>497</v>
      </c>
      <c r="C56" s="263"/>
      <c r="D56" s="5"/>
      <c r="E56" s="5"/>
      <c r="F56" s="5"/>
      <c r="G56" s="5"/>
      <c r="H56" s="5"/>
      <c r="I56" s="5"/>
    </row>
    <row r="57" spans="1:15" x14ac:dyDescent="0.25">
      <c r="B57" s="263" t="s">
        <v>448</v>
      </c>
      <c r="C57" s="263"/>
    </row>
    <row r="58" spans="1:15" x14ac:dyDescent="0.25">
      <c r="B58" s="260"/>
      <c r="C58" s="260"/>
    </row>
    <row r="59" spans="1:15" x14ac:dyDescent="0.25">
      <c r="A59" s="1"/>
      <c r="B59" s="261"/>
      <c r="C59" s="261"/>
    </row>
    <row r="60" spans="1:15" x14ac:dyDescent="0.25">
      <c r="A60" s="1"/>
      <c r="B60" s="262"/>
      <c r="C60" s="262"/>
    </row>
    <row r="61" spans="1:15" x14ac:dyDescent="0.25">
      <c r="A61" s="1"/>
      <c r="B61" s="260"/>
      <c r="C61" s="260"/>
      <c r="J61" s="104"/>
      <c r="K61" s="104"/>
      <c r="L61" s="104"/>
      <c r="M61" s="104"/>
      <c r="N61" s="104"/>
      <c r="O61" s="104"/>
    </row>
    <row r="62" spans="1:15" x14ac:dyDescent="0.25">
      <c r="A62" s="1"/>
      <c r="B62" s="261"/>
      <c r="C62" s="261"/>
    </row>
    <row r="63" spans="1:15" x14ac:dyDescent="0.25">
      <c r="B63" s="262"/>
      <c r="C63" s="262"/>
    </row>
    <row r="64" spans="1:15" x14ac:dyDescent="0.25">
      <c r="A64" s="1"/>
      <c r="B64" s="260"/>
      <c r="C64" s="260"/>
      <c r="D64" s="4"/>
      <c r="E64" s="4"/>
      <c r="F64" s="4"/>
      <c r="G64" s="4"/>
      <c r="H64" s="4"/>
    </row>
    <row r="65" spans="1:11" x14ac:dyDescent="0.25">
      <c r="A65" s="1"/>
      <c r="B65" s="261"/>
      <c r="C65" s="261"/>
      <c r="D65" s="4"/>
      <c r="E65" s="4"/>
      <c r="F65" s="4"/>
      <c r="G65" s="4"/>
      <c r="H65" s="4"/>
    </row>
    <row r="66" spans="1:11" ht="14.25" hidden="1" customHeight="1" x14ac:dyDescent="0.25">
      <c r="A66" s="1"/>
      <c r="B66" s="262"/>
      <c r="C66" s="262"/>
      <c r="D66" s="4"/>
      <c r="E66" s="4"/>
      <c r="F66" s="4"/>
      <c r="G66" s="4"/>
      <c r="H66" s="4"/>
    </row>
    <row r="67" spans="1:11" ht="14.25" hidden="1" customHeight="1" x14ac:dyDescent="0.25">
      <c r="A67" s="1"/>
      <c r="B67" s="260"/>
      <c r="C67" s="260"/>
      <c r="D67" s="4"/>
      <c r="E67" s="4"/>
      <c r="F67" s="4"/>
      <c r="G67" s="4"/>
      <c r="H67" s="4"/>
    </row>
    <row r="68" spans="1:11" x14ac:dyDescent="0.25">
      <c r="A68" s="1"/>
      <c r="B68" s="261"/>
      <c r="C68" s="261"/>
      <c r="D68" s="4"/>
      <c r="E68" s="4"/>
      <c r="F68" s="4"/>
      <c r="G68" s="4"/>
      <c r="H68" s="4"/>
    </row>
    <row r="69" spans="1:11" x14ac:dyDescent="0.25">
      <c r="A69" s="1"/>
      <c r="B69" s="262"/>
      <c r="C69" s="262"/>
      <c r="D69" s="4"/>
      <c r="E69" s="4"/>
      <c r="F69" s="4"/>
      <c r="G69" s="4"/>
      <c r="H69" s="4"/>
    </row>
    <row r="70" spans="1:11" x14ac:dyDescent="0.25">
      <c r="A70" s="1"/>
      <c r="B70" s="260"/>
      <c r="C70" s="260"/>
      <c r="D70" s="4"/>
      <c r="E70" s="4"/>
      <c r="F70" s="4"/>
      <c r="G70" s="4"/>
      <c r="H70" s="4"/>
    </row>
    <row r="71" spans="1:11" x14ac:dyDescent="0.25">
      <c r="A71" s="1"/>
      <c r="B71" s="261"/>
      <c r="C71" s="261"/>
      <c r="D71" s="4"/>
      <c r="E71" s="4"/>
      <c r="F71" s="4"/>
      <c r="G71" s="4"/>
      <c r="H71" s="4"/>
    </row>
    <row r="72" spans="1:11" x14ac:dyDescent="0.25">
      <c r="A72" s="1"/>
      <c r="B72" s="262"/>
      <c r="C72" s="262"/>
      <c r="D72" s="4"/>
      <c r="E72" s="4"/>
      <c r="F72" s="4"/>
      <c r="G72" s="4"/>
      <c r="H72" s="4"/>
    </row>
    <row r="73" spans="1:11" x14ac:dyDescent="0.25">
      <c r="A73" s="1"/>
      <c r="B73" s="260"/>
      <c r="C73" s="260"/>
      <c r="D73" s="4"/>
      <c r="E73" s="4"/>
      <c r="F73" s="4"/>
      <c r="G73" s="4"/>
      <c r="H73" s="4"/>
    </row>
    <row r="74" spans="1:11" ht="15" customHeight="1" x14ac:dyDescent="0.25">
      <c r="A74" s="1"/>
      <c r="B74" s="451" t="s">
        <v>345</v>
      </c>
      <c r="C74" s="451"/>
      <c r="D74" s="452"/>
      <c r="E74" s="452"/>
      <c r="F74" s="452"/>
      <c r="G74" s="452"/>
      <c r="H74" s="452"/>
      <c r="I74" s="452"/>
    </row>
    <row r="75" spans="1:11" x14ac:dyDescent="0.25">
      <c r="A75" s="95"/>
      <c r="B75" s="90" t="s">
        <v>40</v>
      </c>
      <c r="C75" s="90"/>
      <c r="D75" s="92"/>
      <c r="E75" s="92"/>
      <c r="F75" s="92"/>
      <c r="G75" s="92"/>
      <c r="H75" s="92"/>
      <c r="I75" s="91" t="s">
        <v>125</v>
      </c>
    </row>
    <row r="76" spans="1:11" s="3" customFormat="1" x14ac:dyDescent="0.25">
      <c r="A76" s="95"/>
      <c r="B76" s="78" t="s">
        <v>13</v>
      </c>
      <c r="C76" s="78"/>
      <c r="D76" s="79"/>
      <c r="E76" s="79"/>
      <c r="F76" s="79"/>
      <c r="G76" s="79"/>
      <c r="H76" s="79"/>
      <c r="I76" s="86" t="e">
        <f>SUM(I77:I81)</f>
        <v>#REF!</v>
      </c>
      <c r="J76" s="6"/>
      <c r="K76" s="6"/>
    </row>
    <row r="77" spans="1:11" x14ac:dyDescent="0.25">
      <c r="B77" s="77" t="s">
        <v>123</v>
      </c>
      <c r="C77" s="77"/>
      <c r="D77" s="80"/>
      <c r="E77" s="80"/>
      <c r="F77" s="80"/>
      <c r="G77" s="80"/>
      <c r="H77" s="80"/>
      <c r="I77" s="87"/>
    </row>
    <row r="78" spans="1:11" x14ac:dyDescent="0.25">
      <c r="B78" s="77" t="s">
        <v>124</v>
      </c>
      <c r="C78" s="77"/>
      <c r="D78" s="80"/>
      <c r="E78" s="80"/>
      <c r="F78" s="80"/>
      <c r="G78" s="80"/>
      <c r="H78" s="80"/>
      <c r="I78" s="87" t="e">
        <f>+#REF!</f>
        <v>#REF!</v>
      </c>
    </row>
    <row r="79" spans="1:11" x14ac:dyDescent="0.25">
      <c r="B79" s="77" t="s">
        <v>127</v>
      </c>
      <c r="C79" s="77"/>
      <c r="D79" s="80"/>
      <c r="E79" s="80"/>
      <c r="F79" s="80"/>
      <c r="G79" s="80"/>
      <c r="H79" s="80"/>
      <c r="I79" s="87"/>
    </row>
    <row r="80" spans="1:11" x14ac:dyDescent="0.25">
      <c r="B80" s="77" t="s">
        <v>128</v>
      </c>
      <c r="C80" s="77"/>
      <c r="D80" s="80"/>
      <c r="E80" s="80"/>
      <c r="F80" s="80"/>
      <c r="G80" s="80"/>
      <c r="H80" s="80"/>
      <c r="I80" s="87"/>
    </row>
    <row r="81" spans="1:11" x14ac:dyDescent="0.25">
      <c r="B81" s="77" t="s">
        <v>129</v>
      </c>
      <c r="C81" s="77"/>
      <c r="D81" s="80"/>
      <c r="E81" s="80"/>
      <c r="F81" s="80"/>
      <c r="G81" s="80"/>
      <c r="H81" s="80"/>
      <c r="I81" s="87" t="e">
        <f>+#REF!</f>
        <v>#REF!</v>
      </c>
    </row>
    <row r="82" spans="1:11" s="3" customFormat="1" x14ac:dyDescent="0.25">
      <c r="A82" s="95"/>
      <c r="B82" s="78" t="s">
        <v>4</v>
      </c>
      <c r="C82" s="78"/>
      <c r="D82" s="79"/>
      <c r="E82" s="79"/>
      <c r="F82" s="79"/>
      <c r="G82" s="79"/>
      <c r="H82" s="79"/>
      <c r="I82" s="86">
        <f>I29</f>
        <v>193009.27999999997</v>
      </c>
      <c r="J82" s="6"/>
      <c r="K82" s="6"/>
    </row>
    <row r="83" spans="1:11" x14ac:dyDescent="0.25">
      <c r="B83" s="77" t="s">
        <v>130</v>
      </c>
      <c r="C83" s="77"/>
      <c r="D83" s="80"/>
      <c r="E83" s="80"/>
      <c r="F83" s="80"/>
      <c r="G83" s="80"/>
      <c r="H83" s="80"/>
      <c r="I83" s="87" t="e">
        <f>+#REF!</f>
        <v>#REF!</v>
      </c>
    </row>
    <row r="84" spans="1:11" x14ac:dyDescent="0.25">
      <c r="B84" s="77" t="s">
        <v>131</v>
      </c>
      <c r="C84" s="77"/>
      <c r="D84" s="80"/>
      <c r="E84" s="80"/>
      <c r="F84" s="80"/>
      <c r="G84" s="80"/>
      <c r="H84" s="80"/>
      <c r="I84" s="87" t="e">
        <f>+#REF!</f>
        <v>#REF!</v>
      </c>
    </row>
    <row r="85" spans="1:11" s="3" customFormat="1" x14ac:dyDescent="0.25">
      <c r="A85" s="95"/>
      <c r="B85" s="78" t="s">
        <v>126</v>
      </c>
      <c r="C85" s="78"/>
      <c r="D85" s="79"/>
      <c r="E85" s="79"/>
      <c r="F85" s="79"/>
      <c r="G85" s="79"/>
      <c r="H85" s="79"/>
      <c r="I85" s="86">
        <v>0</v>
      </c>
      <c r="J85" s="6"/>
      <c r="K85" s="6"/>
    </row>
    <row r="86" spans="1:11" s="3" customFormat="1" ht="14.25" hidden="1" customHeight="1" x14ac:dyDescent="0.25">
      <c r="A86" s="95"/>
      <c r="B86" s="78" t="s">
        <v>126</v>
      </c>
      <c r="C86" s="78"/>
      <c r="D86" s="79"/>
      <c r="E86" s="79"/>
      <c r="F86" s="79"/>
      <c r="G86" s="79"/>
      <c r="H86" s="79"/>
      <c r="I86" s="86" t="e">
        <f>+#REF!</f>
        <v>#REF!</v>
      </c>
      <c r="J86" s="6"/>
      <c r="K86" s="6"/>
    </row>
    <row r="87" spans="1:11" s="84" customFormat="1" ht="14.25" hidden="1" customHeight="1" x14ac:dyDescent="0.25">
      <c r="A87" s="96"/>
      <c r="B87" s="88" t="s">
        <v>16</v>
      </c>
      <c r="C87" s="88"/>
      <c r="D87" s="81"/>
      <c r="E87" s="81"/>
      <c r="F87" s="81"/>
      <c r="G87" s="81"/>
      <c r="H87" s="81"/>
      <c r="I87" s="89" t="e">
        <f>+I85+I82+I76+I86</f>
        <v>#REF!</v>
      </c>
      <c r="J87" s="85"/>
      <c r="K87" s="85"/>
    </row>
    <row r="88" spans="1:11" ht="14.25" hidden="1" customHeight="1" x14ac:dyDescent="0.25">
      <c r="D88" s="6"/>
      <c r="E88" s="6"/>
      <c r="F88" s="6"/>
      <c r="G88" s="6"/>
      <c r="H88" s="6"/>
    </row>
    <row r="89" spans="1:11" ht="14.25" hidden="1" customHeight="1" x14ac:dyDescent="0.25"/>
    <row r="90" spans="1:11" x14ac:dyDescent="0.25">
      <c r="D90" s="4"/>
      <c r="E90" s="4"/>
      <c r="F90" s="4"/>
      <c r="G90" s="4"/>
      <c r="H90" s="4"/>
      <c r="I90" s="5" t="e">
        <f>+I86+I76</f>
        <v>#REF!</v>
      </c>
    </row>
    <row r="91" spans="1:11" ht="14.25" hidden="1" customHeight="1" x14ac:dyDescent="0.25">
      <c r="A91" s="1"/>
      <c r="D91" s="4"/>
      <c r="E91" s="4"/>
      <c r="F91" s="4"/>
      <c r="G91" s="4"/>
      <c r="H91" s="4"/>
      <c r="I91" s="1"/>
      <c r="J91" s="1"/>
      <c r="K91" s="1"/>
    </row>
    <row r="92" spans="1:11" ht="14.25" hidden="1" customHeight="1" x14ac:dyDescent="0.25">
      <c r="A92" s="1"/>
      <c r="I92" s="1"/>
      <c r="J92" s="1"/>
      <c r="K92" s="1"/>
    </row>
    <row r="93" spans="1:11" ht="15" hidden="1" customHeight="1" x14ac:dyDescent="0.25">
      <c r="A93" s="1"/>
      <c r="B93" s="1" t="s">
        <v>15</v>
      </c>
      <c r="I93" s="1"/>
      <c r="J93" s="1"/>
      <c r="K93" s="1"/>
    </row>
    <row r="94" spans="1:11" x14ac:dyDescent="0.25">
      <c r="A94" s="1"/>
      <c r="I94" s="1"/>
      <c r="J94" s="1"/>
      <c r="K94" s="1"/>
    </row>
    <row r="95" spans="1:11" x14ac:dyDescent="0.25">
      <c r="A95" s="1"/>
      <c r="I95" s="1"/>
      <c r="J95" s="1"/>
      <c r="K95" s="1"/>
    </row>
    <row r="96" spans="1:11" x14ac:dyDescent="0.25">
      <c r="A96" s="1"/>
      <c r="I96" s="1"/>
      <c r="J96" s="1"/>
      <c r="K96" s="1"/>
    </row>
    <row r="97" spans="1:11" x14ac:dyDescent="0.25">
      <c r="A97" s="1"/>
      <c r="I97" s="1"/>
      <c r="J97" s="1"/>
      <c r="K97" s="1"/>
    </row>
    <row r="98" spans="1:11" x14ac:dyDescent="0.25">
      <c r="A98" s="1"/>
      <c r="I98" s="1"/>
      <c r="J98" s="1"/>
      <c r="K98" s="1"/>
    </row>
    <row r="99" spans="1:11" x14ac:dyDescent="0.25">
      <c r="A99" s="1"/>
      <c r="I99" s="1"/>
      <c r="J99" s="1"/>
      <c r="K99" s="1"/>
    </row>
    <row r="100" spans="1:11" x14ac:dyDescent="0.25">
      <c r="A100" s="1"/>
      <c r="I100" s="1"/>
      <c r="J100" s="1"/>
      <c r="K100" s="1"/>
    </row>
    <row r="101" spans="1:11" x14ac:dyDescent="0.25">
      <c r="A101" s="1"/>
      <c r="I101" s="1"/>
      <c r="J101" s="1"/>
      <c r="K101" s="1"/>
    </row>
    <row r="102" spans="1:11" x14ac:dyDescent="0.25">
      <c r="A102" s="1"/>
      <c r="I102" s="1"/>
      <c r="J102" s="1"/>
      <c r="K102" s="1"/>
    </row>
    <row r="103" spans="1:11" x14ac:dyDescent="0.25">
      <c r="A103" s="1"/>
      <c r="I103" s="1"/>
      <c r="J103" s="1"/>
      <c r="K103" s="1"/>
    </row>
    <row r="104" spans="1:11" x14ac:dyDescent="0.25">
      <c r="A104" s="1"/>
      <c r="I104" s="1"/>
      <c r="J104" s="1"/>
      <c r="K104" s="1"/>
    </row>
  </sheetData>
  <mergeCells count="3">
    <mergeCell ref="B74:I74"/>
    <mergeCell ref="A1:J1"/>
    <mergeCell ref="A2:J4"/>
  </mergeCells>
  <printOptions horizontalCentered="1"/>
  <pageMargins left="0.25" right="0.25" top="0.75" bottom="0.75" header="0.3" footer="0.3"/>
  <pageSetup paperSize="9" scale="55" orientation="landscape" horizontalDpi="360" verticalDpi="360" r:id="rId1"/>
  <rowBreaks count="1" manualBreakCount="1">
    <brk id="71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E288"/>
  <sheetViews>
    <sheetView topLeftCell="A127" zoomScale="90" zoomScaleNormal="90" zoomScaleSheetLayoutView="85" workbookViewId="0">
      <selection activeCell="D154" sqref="D154"/>
    </sheetView>
  </sheetViews>
  <sheetFormatPr baseColWidth="10" defaultColWidth="11.44140625" defaultRowHeight="10.199999999999999" x14ac:dyDescent="0.2"/>
  <cols>
    <col min="1" max="1" width="13.44140625" style="314" customWidth="1"/>
    <col min="2" max="2" width="47.109375" style="336" customWidth="1"/>
    <col min="3" max="3" width="16" style="316" customWidth="1"/>
    <col min="4" max="4" width="22.33203125" style="316" customWidth="1"/>
    <col min="5" max="5" width="24.6640625" style="317" customWidth="1"/>
    <col min="6" max="16384" width="11.44140625" style="315"/>
  </cols>
  <sheetData>
    <row r="1" spans="1:5" s="266" customFormat="1" x14ac:dyDescent="0.2">
      <c r="A1" s="457" t="s">
        <v>577</v>
      </c>
      <c r="B1" s="457"/>
      <c r="C1" s="457"/>
      <c r="D1" s="457"/>
      <c r="E1" s="457"/>
    </row>
    <row r="2" spans="1:5" s="266" customFormat="1" x14ac:dyDescent="0.2">
      <c r="A2" s="267" t="s">
        <v>371</v>
      </c>
      <c r="B2" s="456" t="s">
        <v>34</v>
      </c>
      <c r="C2" s="456"/>
      <c r="D2" s="456"/>
      <c r="E2" s="456"/>
    </row>
    <row r="3" spans="1:5" s="266" customFormat="1" x14ac:dyDescent="0.2">
      <c r="A3" s="272" t="s">
        <v>39</v>
      </c>
      <c r="B3" s="319" t="s">
        <v>40</v>
      </c>
      <c r="C3" s="272" t="s">
        <v>434</v>
      </c>
      <c r="D3" s="272" t="s">
        <v>314</v>
      </c>
      <c r="E3" s="273" t="s">
        <v>41</v>
      </c>
    </row>
    <row r="4" spans="1:5" s="266" customFormat="1" x14ac:dyDescent="0.2">
      <c r="A4" s="275"/>
      <c r="B4" s="320"/>
      <c r="C4" s="276"/>
      <c r="D4" s="276"/>
      <c r="E4" s="277"/>
    </row>
    <row r="5" spans="1:5" s="266" customFormat="1" x14ac:dyDescent="0.2">
      <c r="A5" s="275"/>
      <c r="B5" s="320" t="s">
        <v>536</v>
      </c>
      <c r="C5" s="276"/>
      <c r="D5" s="301"/>
      <c r="E5" s="305">
        <f>+D7+D30+D63+D68+D76</f>
        <v>64983.8</v>
      </c>
    </row>
    <row r="6" spans="1:5" s="266" customFormat="1" x14ac:dyDescent="0.2">
      <c r="A6" s="275"/>
      <c r="B6" s="320"/>
      <c r="C6" s="276"/>
      <c r="D6" s="276"/>
      <c r="E6" s="277"/>
    </row>
    <row r="7" spans="1:5" s="266" customFormat="1" x14ac:dyDescent="0.2">
      <c r="A7" s="275" t="s">
        <v>42</v>
      </c>
      <c r="B7" s="320" t="s">
        <v>313</v>
      </c>
      <c r="C7" s="278"/>
      <c r="D7" s="278">
        <f>+D8+D11+D15+D23+D27</f>
        <v>53165.4</v>
      </c>
      <c r="E7" s="277"/>
    </row>
    <row r="8" spans="1:5" s="266" customFormat="1" x14ac:dyDescent="0.2">
      <c r="A8" s="275" t="s">
        <v>43</v>
      </c>
      <c r="B8" s="320" t="s">
        <v>44</v>
      </c>
      <c r="C8" s="278"/>
      <c r="D8" s="423">
        <f>+D9</f>
        <v>39600</v>
      </c>
      <c r="E8" s="277"/>
    </row>
    <row r="9" spans="1:5" s="266" customFormat="1" x14ac:dyDescent="0.2">
      <c r="A9" s="279" t="s">
        <v>45</v>
      </c>
      <c r="B9" s="321" t="s">
        <v>46</v>
      </c>
      <c r="C9" s="276"/>
      <c r="D9" s="276">
        <f>DISTRIBUTIVO!E18</f>
        <v>39600</v>
      </c>
      <c r="E9" s="277"/>
    </row>
    <row r="10" spans="1:5" s="266" customFormat="1" x14ac:dyDescent="0.2">
      <c r="A10" s="275"/>
      <c r="B10" s="320"/>
      <c r="C10" s="276"/>
      <c r="D10" s="276"/>
      <c r="E10" s="277"/>
    </row>
    <row r="11" spans="1:5" s="266" customFormat="1" x14ac:dyDescent="0.2">
      <c r="A11" s="275" t="s">
        <v>47</v>
      </c>
      <c r="B11" s="320" t="s">
        <v>48</v>
      </c>
      <c r="C11" s="278"/>
      <c r="D11" s="278">
        <f>SUM(D12:D13)</f>
        <v>5850</v>
      </c>
      <c r="E11" s="277"/>
    </row>
    <row r="12" spans="1:5" s="266" customFormat="1" x14ac:dyDescent="0.2">
      <c r="A12" s="279" t="s">
        <v>49</v>
      </c>
      <c r="B12" s="321" t="s">
        <v>50</v>
      </c>
      <c r="C12" s="276"/>
      <c r="D12" s="276">
        <f>DISTRIBUTIVO!F18</f>
        <v>3300</v>
      </c>
      <c r="E12" s="277"/>
    </row>
    <row r="13" spans="1:5" s="266" customFormat="1" x14ac:dyDescent="0.2">
      <c r="A13" s="279" t="s">
        <v>51</v>
      </c>
      <c r="B13" s="321" t="s">
        <v>52</v>
      </c>
      <c r="C13" s="276"/>
      <c r="D13" s="276">
        <f>DISTRIBUTIVO!G18</f>
        <v>2550</v>
      </c>
      <c r="E13" s="277"/>
    </row>
    <row r="14" spans="1:5" s="266" customFormat="1" x14ac:dyDescent="0.2">
      <c r="A14" s="279"/>
      <c r="B14" s="321"/>
      <c r="C14" s="276"/>
      <c r="D14" s="276"/>
      <c r="E14" s="277"/>
    </row>
    <row r="15" spans="1:5" s="266" customFormat="1" x14ac:dyDescent="0.2">
      <c r="A15" s="275" t="s">
        <v>53</v>
      </c>
      <c r="B15" s="320" t="s">
        <v>54</v>
      </c>
      <c r="C15" s="278"/>
      <c r="D15" s="278">
        <f>+D16</f>
        <v>0</v>
      </c>
      <c r="E15" s="277"/>
    </row>
    <row r="16" spans="1:5" s="266" customFormat="1" x14ac:dyDescent="0.2">
      <c r="A16" s="279" t="s">
        <v>367</v>
      </c>
      <c r="B16" s="321" t="s">
        <v>368</v>
      </c>
      <c r="C16" s="276"/>
      <c r="D16" s="276"/>
      <c r="E16" s="277"/>
    </row>
    <row r="17" spans="1:5" s="266" customFormat="1" x14ac:dyDescent="0.2">
      <c r="A17" s="279"/>
      <c r="B17" s="321"/>
      <c r="C17" s="276"/>
      <c r="D17" s="276"/>
      <c r="E17" s="277"/>
    </row>
    <row r="18" spans="1:5" s="266" customFormat="1" hidden="1" x14ac:dyDescent="0.2">
      <c r="A18" s="275" t="s">
        <v>53</v>
      </c>
      <c r="B18" s="320" t="s">
        <v>54</v>
      </c>
      <c r="C18" s="276"/>
      <c r="D18" s="278">
        <f>+D19+D21</f>
        <v>0</v>
      </c>
      <c r="E18" s="277"/>
    </row>
    <row r="19" spans="1:5" s="266" customFormat="1" hidden="1" x14ac:dyDescent="0.2">
      <c r="A19" s="279" t="s">
        <v>55</v>
      </c>
      <c r="B19" s="321" t="s">
        <v>56</v>
      </c>
      <c r="C19" s="276"/>
      <c r="D19" s="276">
        <v>0</v>
      </c>
      <c r="E19" s="277"/>
    </row>
    <row r="20" spans="1:5" s="266" customFormat="1" hidden="1" x14ac:dyDescent="0.2">
      <c r="A20" s="279" t="s">
        <v>57</v>
      </c>
      <c r="B20" s="321" t="s">
        <v>58</v>
      </c>
      <c r="C20" s="278"/>
      <c r="D20" s="276"/>
      <c r="E20" s="277"/>
    </row>
    <row r="21" spans="1:5" s="266" customFormat="1" hidden="1" x14ac:dyDescent="0.2">
      <c r="A21" s="279" t="s">
        <v>59</v>
      </c>
      <c r="B21" s="321" t="s">
        <v>60</v>
      </c>
      <c r="C21" s="276"/>
      <c r="D21" s="276">
        <v>0</v>
      </c>
      <c r="E21" s="277"/>
    </row>
    <row r="22" spans="1:5" s="266" customFormat="1" hidden="1" x14ac:dyDescent="0.2">
      <c r="A22" s="279"/>
      <c r="B22" s="321"/>
      <c r="C22" s="276"/>
      <c r="D22" s="276"/>
      <c r="E22" s="277"/>
    </row>
    <row r="23" spans="1:5" s="266" customFormat="1" x14ac:dyDescent="0.2">
      <c r="A23" s="275" t="s">
        <v>61</v>
      </c>
      <c r="B23" s="320" t="s">
        <v>62</v>
      </c>
      <c r="C23" s="276"/>
      <c r="D23" s="278">
        <f>SUM(D24:D25)</f>
        <v>7715.4000000000005</v>
      </c>
      <c r="E23" s="277"/>
    </row>
    <row r="24" spans="1:5" s="266" customFormat="1" x14ac:dyDescent="0.2">
      <c r="A24" s="279" t="s">
        <v>63</v>
      </c>
      <c r="B24" s="321" t="s">
        <v>64</v>
      </c>
      <c r="C24" s="278"/>
      <c r="D24" s="276">
        <f>DISTRIBUTIVO!I18</f>
        <v>4415.4000000000005</v>
      </c>
      <c r="E24" s="277"/>
    </row>
    <row r="25" spans="1:5" s="266" customFormat="1" x14ac:dyDescent="0.2">
      <c r="A25" s="279" t="s">
        <v>65</v>
      </c>
      <c r="B25" s="321" t="s">
        <v>66</v>
      </c>
      <c r="C25" s="276"/>
      <c r="D25" s="276">
        <f>DISTRIBUTIVO!H18</f>
        <v>3300</v>
      </c>
      <c r="E25" s="277"/>
    </row>
    <row r="26" spans="1:5" s="266" customFormat="1" x14ac:dyDescent="0.2">
      <c r="A26" s="279"/>
      <c r="B26" s="321"/>
      <c r="C26" s="276"/>
      <c r="D26" s="276"/>
      <c r="E26" s="277"/>
    </row>
    <row r="27" spans="1:5" s="266" customFormat="1" x14ac:dyDescent="0.2">
      <c r="A27" s="280" t="s">
        <v>470</v>
      </c>
      <c r="B27" s="322" t="s">
        <v>442</v>
      </c>
      <c r="C27" s="277"/>
      <c r="D27" s="278">
        <f>D28</f>
        <v>0</v>
      </c>
      <c r="E27" s="277"/>
    </row>
    <row r="28" spans="1:5" s="266" customFormat="1" x14ac:dyDescent="0.2">
      <c r="A28" s="279" t="s">
        <v>443</v>
      </c>
      <c r="B28" s="321" t="s">
        <v>444</v>
      </c>
      <c r="C28" s="276"/>
      <c r="D28" s="276">
        <v>0</v>
      </c>
      <c r="E28" s="277"/>
    </row>
    <row r="29" spans="1:5" s="266" customFormat="1" x14ac:dyDescent="0.2">
      <c r="A29" s="279"/>
      <c r="B29" s="321"/>
      <c r="C29" s="276"/>
      <c r="D29" s="276"/>
      <c r="E29" s="277"/>
    </row>
    <row r="30" spans="1:5" s="266" customFormat="1" x14ac:dyDescent="0.2">
      <c r="A30" s="275" t="s">
        <v>67</v>
      </c>
      <c r="B30" s="320" t="s">
        <v>312</v>
      </c>
      <c r="C30" s="278"/>
      <c r="D30" s="278">
        <f>+D31+D38+D44+D48+D51+D54+D58</f>
        <v>3739.73</v>
      </c>
      <c r="E30" s="277"/>
    </row>
    <row r="31" spans="1:5" s="266" customFormat="1" x14ac:dyDescent="0.2">
      <c r="A31" s="275" t="s">
        <v>68</v>
      </c>
      <c r="B31" s="320" t="s">
        <v>69</v>
      </c>
      <c r="C31" s="278"/>
      <c r="D31" s="278">
        <f>SUM(D32:D36)</f>
        <v>1525</v>
      </c>
      <c r="E31" s="277"/>
    </row>
    <row r="32" spans="1:5" s="266" customFormat="1" hidden="1" x14ac:dyDescent="0.2">
      <c r="A32" s="279" t="s">
        <v>178</v>
      </c>
      <c r="B32" s="321" t="s">
        <v>6</v>
      </c>
      <c r="C32" s="276"/>
      <c r="D32" s="276">
        <v>0</v>
      </c>
      <c r="E32" s="281"/>
    </row>
    <row r="33" spans="1:5" s="266" customFormat="1" x14ac:dyDescent="0.2">
      <c r="A33" s="279" t="s">
        <v>178</v>
      </c>
      <c r="B33" s="321" t="s">
        <v>431</v>
      </c>
      <c r="C33" s="276"/>
      <c r="D33" s="276">
        <f>+PARTICIPATIVO!C29</f>
        <v>125</v>
      </c>
      <c r="E33" s="281"/>
    </row>
    <row r="34" spans="1:5" s="266" customFormat="1" x14ac:dyDescent="0.2">
      <c r="A34" s="279" t="s">
        <v>70</v>
      </c>
      <c r="B34" s="321" t="s">
        <v>71</v>
      </c>
      <c r="C34" s="276"/>
      <c r="D34" s="276">
        <f>+PARTICIPATIVO!C30</f>
        <v>400</v>
      </c>
      <c r="E34" s="277"/>
    </row>
    <row r="35" spans="1:5" s="266" customFormat="1" x14ac:dyDescent="0.2">
      <c r="A35" s="279" t="s">
        <v>325</v>
      </c>
      <c r="B35" s="321" t="s">
        <v>327</v>
      </c>
      <c r="C35" s="276"/>
      <c r="D35" s="276">
        <f>+PARTICIPATIVO!C31</f>
        <v>500</v>
      </c>
      <c r="E35" s="277"/>
    </row>
    <row r="36" spans="1:5" s="266" customFormat="1" x14ac:dyDescent="0.2">
      <c r="A36" s="279" t="s">
        <v>326</v>
      </c>
      <c r="B36" s="321" t="s">
        <v>328</v>
      </c>
      <c r="C36" s="276"/>
      <c r="D36" s="276">
        <f>+PARTICIPATIVO!C32</f>
        <v>500</v>
      </c>
      <c r="E36" s="277"/>
    </row>
    <row r="37" spans="1:5" s="266" customFormat="1" x14ac:dyDescent="0.2">
      <c r="A37" s="279"/>
      <c r="B37" s="321" t="s">
        <v>334</v>
      </c>
      <c r="C37" s="276"/>
      <c r="D37" s="276"/>
      <c r="E37" s="277"/>
    </row>
    <row r="38" spans="1:5" s="266" customFormat="1" x14ac:dyDescent="0.2">
      <c r="A38" s="275" t="s">
        <v>72</v>
      </c>
      <c r="B38" s="320" t="s">
        <v>73</v>
      </c>
      <c r="C38" s="278"/>
      <c r="D38" s="278">
        <f>SUM(D39:D42)</f>
        <v>0</v>
      </c>
      <c r="E38" s="277"/>
    </row>
    <row r="39" spans="1:5" s="266" customFormat="1" hidden="1" x14ac:dyDescent="0.2">
      <c r="A39" s="279" t="s">
        <v>181</v>
      </c>
      <c r="B39" s="321" t="s">
        <v>114</v>
      </c>
      <c r="C39" s="276"/>
      <c r="D39" s="276">
        <v>0</v>
      </c>
      <c r="E39" s="281"/>
    </row>
    <row r="40" spans="1:5" s="266" customFormat="1" x14ac:dyDescent="0.2">
      <c r="A40" s="279" t="s">
        <v>99</v>
      </c>
      <c r="B40" s="321" t="s">
        <v>182</v>
      </c>
      <c r="C40" s="276"/>
      <c r="D40" s="276" t="s">
        <v>502</v>
      </c>
      <c r="E40" s="277"/>
    </row>
    <row r="41" spans="1:5" s="266" customFormat="1" hidden="1" x14ac:dyDescent="0.2">
      <c r="A41" s="279" t="s">
        <v>74</v>
      </c>
      <c r="B41" s="321" t="s">
        <v>75</v>
      </c>
      <c r="C41" s="276"/>
      <c r="D41" s="276">
        <v>0</v>
      </c>
      <c r="E41" s="277"/>
    </row>
    <row r="42" spans="1:5" s="266" customFormat="1" hidden="1" x14ac:dyDescent="0.2">
      <c r="A42" s="279" t="s">
        <v>76</v>
      </c>
      <c r="B42" s="321" t="s">
        <v>77</v>
      </c>
      <c r="C42" s="276"/>
      <c r="D42" s="276">
        <v>0</v>
      </c>
      <c r="E42" s="277"/>
    </row>
    <row r="43" spans="1:5" s="266" customFormat="1" x14ac:dyDescent="0.2">
      <c r="A43" s="279"/>
      <c r="B43" s="321"/>
      <c r="C43" s="276"/>
      <c r="D43" s="276"/>
      <c r="E43" s="277"/>
    </row>
    <row r="44" spans="1:5" s="266" customFormat="1" x14ac:dyDescent="0.2">
      <c r="A44" s="275" t="s">
        <v>78</v>
      </c>
      <c r="B44" s="320" t="s">
        <v>79</v>
      </c>
      <c r="C44" s="278"/>
      <c r="D44" s="278">
        <f>SUM(D45:D46)</f>
        <v>0</v>
      </c>
      <c r="E44" s="277"/>
    </row>
    <row r="45" spans="1:5" s="266" customFormat="1" x14ac:dyDescent="0.2">
      <c r="A45" s="279" t="s">
        <v>80</v>
      </c>
      <c r="B45" s="321" t="s">
        <v>81</v>
      </c>
      <c r="C45" s="276"/>
      <c r="D45" s="276">
        <f>+PARTICIPATIVO!C37</f>
        <v>0</v>
      </c>
      <c r="E45" s="277"/>
    </row>
    <row r="46" spans="1:5" s="266" customFormat="1" x14ac:dyDescent="0.2">
      <c r="A46" s="279" t="s">
        <v>82</v>
      </c>
      <c r="B46" s="321" t="s">
        <v>83</v>
      </c>
      <c r="C46" s="276"/>
      <c r="D46" s="276">
        <f>+PARTICIPATIVO!C35</f>
        <v>0</v>
      </c>
      <c r="E46" s="277"/>
    </row>
    <row r="47" spans="1:5" s="266" customFormat="1" x14ac:dyDescent="0.2">
      <c r="A47" s="279"/>
      <c r="B47" s="321"/>
      <c r="C47" s="276"/>
      <c r="D47" s="276"/>
      <c r="E47" s="277"/>
    </row>
    <row r="48" spans="1:5" s="266" customFormat="1" ht="20.399999999999999" x14ac:dyDescent="0.2">
      <c r="A48" s="275" t="s">
        <v>84</v>
      </c>
      <c r="B48" s="320" t="s">
        <v>399</v>
      </c>
      <c r="C48" s="278"/>
      <c r="D48" s="278">
        <f>+D49</f>
        <v>201.6</v>
      </c>
      <c r="E48" s="277"/>
    </row>
    <row r="49" spans="1:5" s="266" customFormat="1" x14ac:dyDescent="0.2">
      <c r="A49" s="279" t="s">
        <v>398</v>
      </c>
      <c r="B49" s="321" t="s">
        <v>400</v>
      </c>
      <c r="C49" s="276"/>
      <c r="D49" s="276">
        <f>PARTICIPATIVO!C40</f>
        <v>201.6</v>
      </c>
      <c r="E49" s="277"/>
    </row>
    <row r="50" spans="1:5" s="266" customFormat="1" x14ac:dyDescent="0.2">
      <c r="A50" s="279"/>
      <c r="B50" s="321"/>
      <c r="C50" s="276"/>
      <c r="D50" s="276"/>
      <c r="E50" s="277"/>
    </row>
    <row r="51" spans="1:5" s="266" customFormat="1" x14ac:dyDescent="0.2">
      <c r="A51" s="275" t="s">
        <v>200</v>
      </c>
      <c r="B51" s="320" t="s">
        <v>507</v>
      </c>
      <c r="C51" s="278"/>
      <c r="D51" s="278">
        <f>+D52</f>
        <v>200</v>
      </c>
      <c r="E51" s="277"/>
    </row>
    <row r="52" spans="1:5" s="266" customFormat="1" x14ac:dyDescent="0.2">
      <c r="A52" s="279" t="s">
        <v>87</v>
      </c>
      <c r="B52" s="321" t="s">
        <v>201</v>
      </c>
      <c r="C52" s="276"/>
      <c r="D52" s="276">
        <f>PARTICIPATIVO!C36</f>
        <v>200</v>
      </c>
      <c r="E52" s="277"/>
    </row>
    <row r="53" spans="1:5" s="266" customFormat="1" x14ac:dyDescent="0.2">
      <c r="A53" s="279"/>
      <c r="B53" s="321"/>
      <c r="C53" s="276"/>
      <c r="D53" s="276"/>
      <c r="E53" s="277"/>
    </row>
    <row r="54" spans="1:5" s="266" customFormat="1" x14ac:dyDescent="0.2">
      <c r="A54" s="275" t="s">
        <v>85</v>
      </c>
      <c r="B54" s="320" t="s">
        <v>86</v>
      </c>
      <c r="C54" s="278"/>
      <c r="D54" s="278">
        <f>SUM(D55:D56)</f>
        <v>600</v>
      </c>
      <c r="E54" s="277"/>
    </row>
    <row r="55" spans="1:5" s="266" customFormat="1" x14ac:dyDescent="0.2">
      <c r="A55" s="279" t="s">
        <v>183</v>
      </c>
      <c r="B55" s="321" t="s">
        <v>184</v>
      </c>
      <c r="C55" s="276"/>
      <c r="D55" s="276">
        <v>600</v>
      </c>
      <c r="E55" s="277"/>
    </row>
    <row r="56" spans="1:5" s="266" customFormat="1" hidden="1" x14ac:dyDescent="0.2">
      <c r="A56" s="279" t="s">
        <v>87</v>
      </c>
      <c r="B56" s="321" t="s">
        <v>185</v>
      </c>
      <c r="C56" s="276"/>
      <c r="D56" s="276">
        <v>0</v>
      </c>
      <c r="E56" s="277"/>
    </row>
    <row r="57" spans="1:5" s="266" customFormat="1" x14ac:dyDescent="0.2">
      <c r="A57" s="279"/>
      <c r="B57" s="321"/>
      <c r="C57" s="276"/>
      <c r="D57" s="276"/>
      <c r="E57" s="277"/>
    </row>
    <row r="58" spans="1:5" s="266" customFormat="1" x14ac:dyDescent="0.2">
      <c r="A58" s="275" t="s">
        <v>88</v>
      </c>
      <c r="B58" s="320" t="s">
        <v>89</v>
      </c>
      <c r="C58" s="278"/>
      <c r="D58" s="278">
        <f>SUM(D59:D61)</f>
        <v>1213.1300000000001</v>
      </c>
      <c r="E58" s="277"/>
    </row>
    <row r="59" spans="1:5" s="266" customFormat="1" ht="20.399999999999999" x14ac:dyDescent="0.2">
      <c r="A59" s="279" t="s">
        <v>90</v>
      </c>
      <c r="B59" s="321" t="s">
        <v>397</v>
      </c>
      <c r="C59" s="276"/>
      <c r="D59" s="276">
        <f>+PARTICIPATIVO!C42</f>
        <v>300</v>
      </c>
      <c r="E59" s="277"/>
    </row>
    <row r="60" spans="1:5" s="266" customFormat="1" x14ac:dyDescent="0.2">
      <c r="A60" s="279" t="s">
        <v>91</v>
      </c>
      <c r="B60" s="321" t="s">
        <v>92</v>
      </c>
      <c r="C60" s="276"/>
      <c r="D60" s="276">
        <v>613.13</v>
      </c>
      <c r="E60" s="277"/>
    </row>
    <row r="61" spans="1:5" s="266" customFormat="1" x14ac:dyDescent="0.2">
      <c r="A61" s="279" t="s">
        <v>93</v>
      </c>
      <c r="B61" s="321" t="s">
        <v>94</v>
      </c>
      <c r="C61" s="276"/>
      <c r="D61" s="276">
        <f>+PARTICIPATIVO!C39</f>
        <v>300</v>
      </c>
      <c r="E61" s="277"/>
    </row>
    <row r="62" spans="1:5" s="266" customFormat="1" x14ac:dyDescent="0.2">
      <c r="A62" s="279"/>
      <c r="B62" s="321"/>
      <c r="C62" s="276"/>
      <c r="D62" s="276"/>
      <c r="E62" s="277"/>
    </row>
    <row r="63" spans="1:5" s="266" customFormat="1" x14ac:dyDescent="0.2">
      <c r="A63" s="275" t="s">
        <v>95</v>
      </c>
      <c r="B63" s="320" t="s">
        <v>311</v>
      </c>
      <c r="C63" s="274"/>
      <c r="D63" s="274">
        <f>+D64</f>
        <v>1632.99</v>
      </c>
      <c r="E63" s="277"/>
    </row>
    <row r="64" spans="1:5" s="266" customFormat="1" x14ac:dyDescent="0.2">
      <c r="A64" s="275" t="s">
        <v>96</v>
      </c>
      <c r="B64" s="320" t="s">
        <v>97</v>
      </c>
      <c r="C64" s="278"/>
      <c r="D64" s="278">
        <f>SUM(D65:D66)</f>
        <v>1632.99</v>
      </c>
      <c r="E64" s="277"/>
    </row>
    <row r="65" spans="1:5" s="266" customFormat="1" x14ac:dyDescent="0.2">
      <c r="A65" s="279" t="s">
        <v>98</v>
      </c>
      <c r="B65" s="321" t="s">
        <v>186</v>
      </c>
      <c r="C65" s="278"/>
      <c r="D65" s="276">
        <f>+PARTICIPATIVO!C43</f>
        <v>1552.99</v>
      </c>
      <c r="E65" s="277"/>
    </row>
    <row r="66" spans="1:5" s="266" customFormat="1" x14ac:dyDescent="0.2">
      <c r="A66" s="279" t="s">
        <v>100</v>
      </c>
      <c r="B66" s="321" t="s">
        <v>101</v>
      </c>
      <c r="C66" s="278"/>
      <c r="D66" s="276">
        <f>+PARTICIPATIVO!C41</f>
        <v>80</v>
      </c>
      <c r="E66" s="281"/>
    </row>
    <row r="67" spans="1:5" s="266" customFormat="1" x14ac:dyDescent="0.2">
      <c r="A67" s="279"/>
      <c r="B67" s="321"/>
      <c r="C67" s="278"/>
      <c r="D67" s="276"/>
      <c r="E67" s="281"/>
    </row>
    <row r="68" spans="1:5" s="266" customFormat="1" x14ac:dyDescent="0.2">
      <c r="A68" s="275" t="s">
        <v>120</v>
      </c>
      <c r="B68" s="320" t="s">
        <v>310</v>
      </c>
      <c r="C68" s="276"/>
      <c r="D68" s="274">
        <f>+D69+D73</f>
        <v>6445.68</v>
      </c>
      <c r="E68" s="281"/>
    </row>
    <row r="69" spans="1:5" s="266" customFormat="1" x14ac:dyDescent="0.2">
      <c r="A69" s="275" t="s">
        <v>121</v>
      </c>
      <c r="B69" s="320" t="s">
        <v>122</v>
      </c>
      <c r="C69" s="276"/>
      <c r="D69" s="278">
        <f>D70</f>
        <v>6145.68</v>
      </c>
      <c r="E69" s="281"/>
    </row>
    <row r="70" spans="1:5" s="266" customFormat="1" x14ac:dyDescent="0.2">
      <c r="A70" s="279" t="s">
        <v>538</v>
      </c>
      <c r="B70" s="321" t="s">
        <v>539</v>
      </c>
      <c r="C70" s="276"/>
      <c r="D70" s="276">
        <v>6145.68</v>
      </c>
      <c r="E70" s="277"/>
    </row>
    <row r="71" spans="1:5" s="266" customFormat="1" x14ac:dyDescent="0.2">
      <c r="A71" s="279" t="s">
        <v>540</v>
      </c>
      <c r="B71" s="321" t="s">
        <v>541</v>
      </c>
      <c r="C71" s="276"/>
      <c r="D71" s="276"/>
      <c r="E71" s="277"/>
    </row>
    <row r="72" spans="1:5" s="266" customFormat="1" x14ac:dyDescent="0.2">
      <c r="A72" s="279"/>
      <c r="B72" s="416"/>
      <c r="C72" s="274"/>
      <c r="D72" s="276"/>
      <c r="E72" s="281"/>
    </row>
    <row r="73" spans="1:5" s="266" customFormat="1" x14ac:dyDescent="0.2">
      <c r="A73" s="275" t="s">
        <v>187</v>
      </c>
      <c r="B73" s="320" t="s">
        <v>188</v>
      </c>
      <c r="C73" s="278"/>
      <c r="D73" s="278">
        <f>SUM(D74)</f>
        <v>300</v>
      </c>
      <c r="E73" s="281"/>
    </row>
    <row r="74" spans="1:5" s="266" customFormat="1" x14ac:dyDescent="0.2">
      <c r="A74" s="279" t="s">
        <v>189</v>
      </c>
      <c r="B74" s="321" t="s">
        <v>190</v>
      </c>
      <c r="C74" s="276"/>
      <c r="D74" s="276">
        <f>+PARTICIPATIVO!C46</f>
        <v>300</v>
      </c>
      <c r="E74" s="281"/>
    </row>
    <row r="75" spans="1:5" s="266" customFormat="1" x14ac:dyDescent="0.2">
      <c r="A75" s="279"/>
      <c r="B75" s="321"/>
      <c r="C75" s="276"/>
      <c r="D75" s="276"/>
      <c r="E75" s="281"/>
    </row>
    <row r="76" spans="1:5" s="266" customFormat="1" x14ac:dyDescent="0.2">
      <c r="A76" s="275"/>
      <c r="B76" s="320" t="s">
        <v>516</v>
      </c>
      <c r="C76" s="276"/>
      <c r="D76" s="278">
        <f>D77</f>
        <v>0</v>
      </c>
      <c r="E76" s="281"/>
    </row>
    <row r="77" spans="1:5" s="266" customFormat="1" x14ac:dyDescent="0.2">
      <c r="A77" s="275"/>
      <c r="B77" s="320" t="s">
        <v>534</v>
      </c>
      <c r="C77" s="276"/>
      <c r="D77" s="276">
        <f>D78</f>
        <v>0</v>
      </c>
      <c r="E77" s="281"/>
    </row>
    <row r="78" spans="1:5" s="266" customFormat="1" x14ac:dyDescent="0.2">
      <c r="A78" s="279" t="s">
        <v>566</v>
      </c>
      <c r="B78" s="321" t="s">
        <v>535</v>
      </c>
      <c r="C78" s="276"/>
      <c r="D78" s="276"/>
      <c r="E78" s="281"/>
    </row>
    <row r="79" spans="1:5" s="266" customFormat="1" hidden="1" x14ac:dyDescent="0.2">
      <c r="A79" s="284" t="s">
        <v>118</v>
      </c>
      <c r="B79" s="324" t="s">
        <v>401</v>
      </c>
      <c r="C79" s="285"/>
      <c r="D79" s="286"/>
      <c r="E79" s="287"/>
    </row>
    <row r="80" spans="1:5" s="266" customFormat="1" ht="20.399999999999999" x14ac:dyDescent="0.2">
      <c r="A80" s="284" t="s">
        <v>307</v>
      </c>
      <c r="B80" s="325" t="s">
        <v>575</v>
      </c>
      <c r="C80" s="288"/>
      <c r="D80" s="289"/>
      <c r="E80" s="449"/>
    </row>
    <row r="81" spans="1:5" s="266" customFormat="1" x14ac:dyDescent="0.2">
      <c r="A81" s="275" t="s">
        <v>39</v>
      </c>
      <c r="B81" s="320" t="s">
        <v>40</v>
      </c>
      <c r="C81" s="276"/>
      <c r="D81" s="290"/>
      <c r="E81" s="291"/>
    </row>
    <row r="82" spans="1:5" s="266" customFormat="1" x14ac:dyDescent="0.2">
      <c r="A82" s="275" t="s">
        <v>329</v>
      </c>
      <c r="B82" s="320" t="s">
        <v>330</v>
      </c>
      <c r="C82" s="276"/>
      <c r="D82" s="278"/>
      <c r="E82" s="277">
        <f>+D83</f>
        <v>8813.4599999999991</v>
      </c>
    </row>
    <row r="83" spans="1:5" s="266" customFormat="1" x14ac:dyDescent="0.2">
      <c r="A83" s="275" t="s">
        <v>117</v>
      </c>
      <c r="B83" s="320" t="s">
        <v>293</v>
      </c>
      <c r="C83" s="276" t="s">
        <v>433</v>
      </c>
      <c r="D83" s="278">
        <f>SUM(D84:D84)</f>
        <v>8813.4599999999991</v>
      </c>
      <c r="E83" s="276"/>
    </row>
    <row r="84" spans="1:5" s="266" customFormat="1" ht="30.6" x14ac:dyDescent="0.2">
      <c r="A84" s="279" t="s">
        <v>316</v>
      </c>
      <c r="B84" s="321" t="s">
        <v>337</v>
      </c>
      <c r="C84" s="276"/>
      <c r="D84" s="276">
        <v>8813.4599999999991</v>
      </c>
      <c r="E84" s="276"/>
    </row>
    <row r="85" spans="1:5" s="266" customFormat="1" ht="17.25" customHeight="1" x14ac:dyDescent="0.2">
      <c r="A85" s="296"/>
      <c r="B85" s="321"/>
      <c r="C85" s="278"/>
      <c r="D85" s="276"/>
      <c r="E85" s="277"/>
    </row>
    <row r="86" spans="1:5" s="266" customFormat="1" ht="30.75" customHeight="1" x14ac:dyDescent="0.2">
      <c r="A86" s="284" t="s">
        <v>307</v>
      </c>
      <c r="B86" s="325" t="s">
        <v>576</v>
      </c>
      <c r="C86" s="288"/>
      <c r="D86" s="289"/>
      <c r="E86" s="449"/>
    </row>
    <row r="87" spans="1:5" s="266" customFormat="1" x14ac:dyDescent="0.2">
      <c r="A87" s="275" t="s">
        <v>39</v>
      </c>
      <c r="B87" s="320" t="s">
        <v>40</v>
      </c>
      <c r="C87" s="276"/>
      <c r="D87" s="290"/>
      <c r="E87" s="291"/>
    </row>
    <row r="88" spans="1:5" s="266" customFormat="1" x14ac:dyDescent="0.2">
      <c r="A88" s="275" t="s">
        <v>329</v>
      </c>
      <c r="B88" s="320" t="s">
        <v>330</v>
      </c>
      <c r="C88" s="276"/>
      <c r="D88" s="278"/>
      <c r="E88" s="277">
        <f>+D89+D101+D106+D109</f>
        <v>188739.92499999999</v>
      </c>
    </row>
    <row r="89" spans="1:5" s="266" customFormat="1" x14ac:dyDescent="0.2">
      <c r="A89" s="275" t="s">
        <v>102</v>
      </c>
      <c r="B89" s="320" t="s">
        <v>313</v>
      </c>
      <c r="C89" s="276"/>
      <c r="D89" s="278">
        <f>+D90+D93+D97</f>
        <v>9559.8449999999993</v>
      </c>
      <c r="E89" s="264"/>
    </row>
    <row r="90" spans="1:5" s="266" customFormat="1" x14ac:dyDescent="0.2">
      <c r="A90" s="275" t="s">
        <v>103</v>
      </c>
      <c r="B90" s="320" t="s">
        <v>44</v>
      </c>
      <c r="C90" s="278"/>
      <c r="D90" s="278">
        <f>+D91</f>
        <v>8040</v>
      </c>
      <c r="E90" s="264"/>
    </row>
    <row r="91" spans="1:5" s="266" customFormat="1" x14ac:dyDescent="0.2">
      <c r="A91" s="279" t="s">
        <v>104</v>
      </c>
      <c r="B91" s="321" t="s">
        <v>46</v>
      </c>
      <c r="C91" s="278" t="s">
        <v>435</v>
      </c>
      <c r="D91" s="276">
        <f>+DISTRIBUTIVO!E28</f>
        <v>8040</v>
      </c>
      <c r="E91" s="277"/>
    </row>
    <row r="92" spans="1:5" s="266" customFormat="1" x14ac:dyDescent="0.2">
      <c r="A92" s="275"/>
      <c r="B92" s="320"/>
      <c r="C92" s="278"/>
      <c r="D92" s="278"/>
      <c r="E92" s="277"/>
    </row>
    <row r="93" spans="1:5" s="266" customFormat="1" x14ac:dyDescent="0.2">
      <c r="A93" s="275" t="s">
        <v>105</v>
      </c>
      <c r="B93" s="320" t="s">
        <v>48</v>
      </c>
      <c r="D93" s="278">
        <f>+D94+D95</f>
        <v>847.50000000000011</v>
      </c>
      <c r="E93" s="277"/>
    </row>
    <row r="94" spans="1:5" s="266" customFormat="1" x14ac:dyDescent="0.2">
      <c r="A94" s="279" t="s">
        <v>106</v>
      </c>
      <c r="B94" s="321" t="s">
        <v>50</v>
      </c>
      <c r="C94" s="278" t="s">
        <v>446</v>
      </c>
      <c r="D94" s="276">
        <f>DISTRIBUTIVO!F28</f>
        <v>614.16666666666674</v>
      </c>
      <c r="E94" s="277"/>
    </row>
    <row r="95" spans="1:5" s="266" customFormat="1" x14ac:dyDescent="0.2">
      <c r="A95" s="279" t="s">
        <v>107</v>
      </c>
      <c r="B95" s="321" t="s">
        <v>52</v>
      </c>
      <c r="C95" s="278" t="s">
        <v>446</v>
      </c>
      <c r="D95" s="276">
        <f>DISTRIBUTIVO!G21</f>
        <v>233.33333333333334</v>
      </c>
      <c r="E95" s="277"/>
    </row>
    <row r="96" spans="1:5" s="266" customFormat="1" x14ac:dyDescent="0.2">
      <c r="A96" s="275"/>
      <c r="B96" s="320"/>
      <c r="C96" s="278"/>
      <c r="D96" s="278"/>
      <c r="E96" s="277"/>
    </row>
    <row r="97" spans="1:5" s="266" customFormat="1" x14ac:dyDescent="0.2">
      <c r="A97" s="292" t="s">
        <v>109</v>
      </c>
      <c r="B97" s="326" t="s">
        <v>62</v>
      </c>
      <c r="C97" s="293"/>
      <c r="D97" s="294">
        <f>+D98+D99</f>
        <v>672.34500000000003</v>
      </c>
      <c r="E97" s="295"/>
    </row>
    <row r="98" spans="1:5" s="266" customFormat="1" x14ac:dyDescent="0.2">
      <c r="A98" s="279" t="s">
        <v>110</v>
      </c>
      <c r="B98" s="321" t="s">
        <v>64</v>
      </c>
      <c r="C98" s="278" t="s">
        <v>446</v>
      </c>
      <c r="D98" s="276">
        <f>DISTRIBUTIVO!I21</f>
        <v>672.34500000000003</v>
      </c>
      <c r="E98" s="277"/>
    </row>
    <row r="99" spans="1:5" s="266" customFormat="1" x14ac:dyDescent="0.2">
      <c r="A99" s="296" t="s">
        <v>111</v>
      </c>
      <c r="B99" s="327" t="s">
        <v>432</v>
      </c>
      <c r="C99" s="294" t="s">
        <v>446</v>
      </c>
      <c r="D99" s="293"/>
      <c r="E99" s="295"/>
    </row>
    <row r="100" spans="1:5" s="266" customFormat="1" x14ac:dyDescent="0.2">
      <c r="A100" s="296"/>
      <c r="B100" s="327"/>
      <c r="C100" s="294"/>
      <c r="D100" s="293"/>
      <c r="E100" s="295"/>
    </row>
    <row r="101" spans="1:5" s="266" customFormat="1" x14ac:dyDescent="0.2">
      <c r="A101" s="275" t="s">
        <v>117</v>
      </c>
      <c r="B101" s="320" t="s">
        <v>293</v>
      </c>
      <c r="C101" s="276"/>
      <c r="D101" s="423">
        <f>D103+D102+D104</f>
        <v>11399</v>
      </c>
      <c r="E101" s="308"/>
    </row>
    <row r="102" spans="1:5" s="266" customFormat="1" x14ac:dyDescent="0.2">
      <c r="A102" s="279" t="s">
        <v>292</v>
      </c>
      <c r="B102" s="321" t="s">
        <v>341</v>
      </c>
      <c r="C102" s="276"/>
      <c r="D102" s="276">
        <v>3500</v>
      </c>
      <c r="E102" s="308"/>
    </row>
    <row r="103" spans="1:5" s="266" customFormat="1" ht="40.799999999999997" x14ac:dyDescent="0.2">
      <c r="A103" s="279" t="s">
        <v>316</v>
      </c>
      <c r="B103" s="321" t="s">
        <v>339</v>
      </c>
      <c r="C103" s="264" t="s">
        <v>433</v>
      </c>
      <c r="D103" s="276">
        <v>6099</v>
      </c>
      <c r="E103" s="308"/>
    </row>
    <row r="104" spans="1:5" s="266" customFormat="1" x14ac:dyDescent="0.2">
      <c r="A104" s="279" t="s">
        <v>517</v>
      </c>
      <c r="B104" s="321" t="s">
        <v>518</v>
      </c>
      <c r="C104" s="264"/>
      <c r="D104" s="276">
        <v>1800</v>
      </c>
      <c r="E104" s="308"/>
    </row>
    <row r="105" spans="1:5" s="266" customFormat="1" x14ac:dyDescent="0.2">
      <c r="A105" s="279"/>
      <c r="B105" s="321"/>
      <c r="C105" s="276"/>
      <c r="D105" s="276"/>
      <c r="E105" s="308"/>
    </row>
    <row r="106" spans="1:5" s="266" customFormat="1" x14ac:dyDescent="0.2">
      <c r="A106" s="279" t="s">
        <v>573</v>
      </c>
      <c r="B106" s="320" t="s">
        <v>574</v>
      </c>
      <c r="C106" s="276"/>
      <c r="D106" s="278">
        <f>D107</f>
        <v>44781.08</v>
      </c>
      <c r="E106" s="308"/>
    </row>
    <row r="107" spans="1:5" s="266" customFormat="1" x14ac:dyDescent="0.2">
      <c r="A107" s="279" t="s">
        <v>571</v>
      </c>
      <c r="B107" s="321" t="s">
        <v>572</v>
      </c>
      <c r="C107" s="276"/>
      <c r="D107" s="448">
        <v>44781.08</v>
      </c>
      <c r="E107" s="308"/>
    </row>
    <row r="108" spans="1:5" s="266" customFormat="1" x14ac:dyDescent="0.2">
      <c r="A108" s="279"/>
      <c r="B108" s="321"/>
      <c r="C108" s="276"/>
      <c r="D108" s="276"/>
      <c r="E108" s="308"/>
    </row>
    <row r="109" spans="1:5" s="266" customFormat="1" x14ac:dyDescent="0.2">
      <c r="A109" s="279">
        <v>84.01</v>
      </c>
      <c r="B109" s="320" t="s">
        <v>516</v>
      </c>
      <c r="C109" s="276"/>
      <c r="D109" s="278">
        <f>D110</f>
        <v>123000</v>
      </c>
      <c r="E109" s="308"/>
    </row>
    <row r="110" spans="1:5" s="266" customFormat="1" x14ac:dyDescent="0.2">
      <c r="A110" s="279" t="s">
        <v>582</v>
      </c>
      <c r="B110" s="321" t="s">
        <v>366</v>
      </c>
      <c r="C110" s="278"/>
      <c r="D110" s="276">
        <v>123000</v>
      </c>
      <c r="E110" s="277"/>
    </row>
    <row r="111" spans="1:5" s="266" customFormat="1" ht="20.399999999999999" x14ac:dyDescent="0.2">
      <c r="A111" s="368" t="s">
        <v>307</v>
      </c>
      <c r="B111" s="318" t="s">
        <v>529</v>
      </c>
      <c r="C111" s="269"/>
      <c r="D111" s="269"/>
      <c r="E111" s="270"/>
    </row>
    <row r="112" spans="1:5" s="266" customFormat="1" ht="12" x14ac:dyDescent="0.35">
      <c r="A112" s="364" t="s">
        <v>329</v>
      </c>
      <c r="B112" s="365" t="s">
        <v>450</v>
      </c>
      <c r="C112" s="337"/>
      <c r="D112" s="290"/>
      <c r="E112" s="370">
        <f>+D117+D113</f>
        <v>8636</v>
      </c>
    </row>
    <row r="113" spans="1:5" s="266" customFormat="1" x14ac:dyDescent="0.2">
      <c r="A113" s="343" t="s">
        <v>102</v>
      </c>
      <c r="B113" s="332" t="s">
        <v>496</v>
      </c>
      <c r="C113" s="276"/>
      <c r="D113" s="278">
        <f>D114</f>
        <v>336</v>
      </c>
      <c r="E113" s="304"/>
    </row>
    <row r="114" spans="1:5" s="266" customFormat="1" x14ac:dyDescent="0.2">
      <c r="A114" s="275" t="s">
        <v>108</v>
      </c>
      <c r="B114" s="333" t="s">
        <v>287</v>
      </c>
      <c r="C114" s="278"/>
      <c r="D114" s="278">
        <f>SUM(D115:D115)</f>
        <v>336</v>
      </c>
      <c r="E114" s="304"/>
    </row>
    <row r="115" spans="1:5" s="266" customFormat="1" x14ac:dyDescent="0.2">
      <c r="A115" s="279" t="s">
        <v>495</v>
      </c>
      <c r="B115" s="334" t="s">
        <v>543</v>
      </c>
      <c r="C115" s="276" t="s">
        <v>433</v>
      </c>
      <c r="D115" s="276">
        <v>336</v>
      </c>
      <c r="E115" s="304"/>
    </row>
    <row r="116" spans="1:5" s="266" customFormat="1" x14ac:dyDescent="0.2">
      <c r="A116" s="280"/>
      <c r="B116" s="322"/>
      <c r="C116" s="276"/>
      <c r="D116" s="278"/>
      <c r="E116" s="304"/>
    </row>
    <row r="117" spans="1:5" s="266" customFormat="1" x14ac:dyDescent="0.2">
      <c r="A117" s="275" t="s">
        <v>112</v>
      </c>
      <c r="B117" s="320" t="s">
        <v>331</v>
      </c>
      <c r="C117" s="278"/>
      <c r="D117" s="278">
        <f>+D118+D121+D124</f>
        <v>8300</v>
      </c>
      <c r="E117" s="264"/>
    </row>
    <row r="118" spans="1:5" s="266" customFormat="1" x14ac:dyDescent="0.2">
      <c r="A118" s="275" t="s">
        <v>115</v>
      </c>
      <c r="B118" s="320" t="s">
        <v>332</v>
      </c>
      <c r="C118" s="276"/>
      <c r="D118" s="278">
        <f>+D119</f>
        <v>1000</v>
      </c>
      <c r="E118" s="277"/>
    </row>
    <row r="119" spans="1:5" s="266" customFormat="1" x14ac:dyDescent="0.2">
      <c r="A119" s="279" t="s">
        <v>544</v>
      </c>
      <c r="B119" s="321" t="s">
        <v>545</v>
      </c>
      <c r="C119" s="278"/>
      <c r="D119" s="276">
        <v>1000</v>
      </c>
      <c r="E119" s="278"/>
    </row>
    <row r="120" spans="1:5" s="266" customFormat="1" x14ac:dyDescent="0.2">
      <c r="A120" s="279"/>
      <c r="B120" s="320"/>
      <c r="C120" s="276" t="s">
        <v>436</v>
      </c>
      <c r="D120" s="276"/>
      <c r="E120" s="277"/>
    </row>
    <row r="121" spans="1:5" s="266" customFormat="1" ht="20.399999999999999" x14ac:dyDescent="0.2">
      <c r="A121" s="275" t="s">
        <v>116</v>
      </c>
      <c r="B121" s="320" t="s">
        <v>378</v>
      </c>
      <c r="C121" s="276"/>
      <c r="D121" s="278">
        <f>+D122</f>
        <v>5000</v>
      </c>
      <c r="E121" s="281"/>
    </row>
    <row r="122" spans="1:5" s="266" customFormat="1" ht="15.75" customHeight="1" x14ac:dyDescent="0.2">
      <c r="A122" s="279" t="s">
        <v>546</v>
      </c>
      <c r="B122" s="321" t="s">
        <v>547</v>
      </c>
      <c r="C122" s="276" t="s">
        <v>437</v>
      </c>
      <c r="D122" s="276">
        <v>5000</v>
      </c>
      <c r="E122" s="277"/>
    </row>
    <row r="123" spans="1:5" s="266" customFormat="1" x14ac:dyDescent="0.2">
      <c r="B123" s="329"/>
      <c r="C123" s="276"/>
      <c r="D123" s="276"/>
      <c r="E123" s="277"/>
    </row>
    <row r="124" spans="1:5" s="266" customFormat="1" x14ac:dyDescent="0.2">
      <c r="A124" s="275" t="s">
        <v>117</v>
      </c>
      <c r="B124" s="320" t="s">
        <v>293</v>
      </c>
      <c r="C124" s="276"/>
      <c r="D124" s="278">
        <f>SUM(D125:D127)</f>
        <v>2300</v>
      </c>
      <c r="E124" s="277"/>
    </row>
    <row r="125" spans="1:5" s="266" customFormat="1" x14ac:dyDescent="0.2">
      <c r="A125" s="279" t="s">
        <v>132</v>
      </c>
      <c r="B125" s="321" t="s">
        <v>133</v>
      </c>
      <c r="C125" s="276" t="s">
        <v>438</v>
      </c>
      <c r="D125" s="276">
        <v>1000</v>
      </c>
      <c r="E125" s="277"/>
    </row>
    <row r="126" spans="1:5" s="266" customFormat="1" ht="20.399999999999999" x14ac:dyDescent="0.2">
      <c r="A126" s="279" t="s">
        <v>291</v>
      </c>
      <c r="B126" s="321" t="s">
        <v>403</v>
      </c>
      <c r="C126" s="276" t="s">
        <v>435</v>
      </c>
      <c r="D126" s="276">
        <v>1000</v>
      </c>
      <c r="E126" s="277"/>
    </row>
    <row r="127" spans="1:5" s="266" customFormat="1" x14ac:dyDescent="0.2">
      <c r="A127" s="296" t="s">
        <v>191</v>
      </c>
      <c r="B127" s="327" t="s">
        <v>404</v>
      </c>
      <c r="C127" s="265" t="s">
        <v>435</v>
      </c>
      <c r="D127" s="293">
        <v>300</v>
      </c>
      <c r="E127" s="346"/>
    </row>
    <row r="128" spans="1:5" s="266" customFormat="1" x14ac:dyDescent="0.2">
      <c r="A128" s="279"/>
      <c r="B128" s="321"/>
      <c r="C128" s="276"/>
      <c r="D128" s="276"/>
      <c r="E128" s="281"/>
    </row>
    <row r="129" spans="1:5" s="266" customFormat="1" ht="16.2" customHeight="1" x14ac:dyDescent="0.2">
      <c r="A129" s="362" t="s">
        <v>118</v>
      </c>
      <c r="B129" s="363" t="s">
        <v>405</v>
      </c>
      <c r="C129" s="293"/>
      <c r="D129" s="302"/>
      <c r="E129" s="295"/>
    </row>
    <row r="130" spans="1:5" s="266" customFormat="1" ht="27.6" customHeight="1" x14ac:dyDescent="0.2">
      <c r="A130" s="368" t="s">
        <v>307</v>
      </c>
      <c r="B130" s="318" t="s">
        <v>526</v>
      </c>
      <c r="C130" s="269"/>
      <c r="D130" s="271"/>
      <c r="E130" s="270"/>
    </row>
    <row r="131" spans="1:5" s="266" customFormat="1" ht="12.75" customHeight="1" x14ac:dyDescent="0.35">
      <c r="A131" s="364" t="s">
        <v>329</v>
      </c>
      <c r="B131" s="365" t="s">
        <v>450</v>
      </c>
      <c r="C131" s="366"/>
      <c r="D131" s="367"/>
      <c r="E131" s="370">
        <f>+D146+D132</f>
        <v>21235.82</v>
      </c>
    </row>
    <row r="132" spans="1:5" s="266" customFormat="1" x14ac:dyDescent="0.2">
      <c r="A132" s="343" t="s">
        <v>102</v>
      </c>
      <c r="B132" s="332" t="s">
        <v>496</v>
      </c>
      <c r="C132" s="276"/>
      <c r="D132" s="277">
        <f>D133+D137+D141</f>
        <v>13435.82</v>
      </c>
      <c r="E132" s="304"/>
    </row>
    <row r="133" spans="1:5" s="266" customFormat="1" x14ac:dyDescent="0.2">
      <c r="A133" s="275" t="s">
        <v>108</v>
      </c>
      <c r="B133" s="333" t="s">
        <v>287</v>
      </c>
      <c r="C133" s="278"/>
      <c r="D133" s="423">
        <f>SUM(D134:D135)</f>
        <v>10304</v>
      </c>
      <c r="E133" s="304"/>
    </row>
    <row r="134" spans="1:5" s="282" customFormat="1" x14ac:dyDescent="0.2">
      <c r="A134" s="279" t="s">
        <v>104</v>
      </c>
      <c r="B134" s="334" t="s">
        <v>508</v>
      </c>
      <c r="C134" s="276"/>
      <c r="D134" s="276">
        <v>9804</v>
      </c>
      <c r="E134" s="304"/>
    </row>
    <row r="135" spans="1:5" s="266" customFormat="1" x14ac:dyDescent="0.2">
      <c r="A135" s="279" t="s">
        <v>495</v>
      </c>
      <c r="B135" s="334" t="s">
        <v>543</v>
      </c>
      <c r="C135" s="276" t="s">
        <v>433</v>
      </c>
      <c r="D135" s="276">
        <v>500</v>
      </c>
      <c r="E135" s="278"/>
    </row>
    <row r="136" spans="1:5" s="266" customFormat="1" ht="13.5" customHeight="1" x14ac:dyDescent="0.2">
      <c r="A136" s="279"/>
      <c r="B136" s="334"/>
      <c r="C136" s="276"/>
      <c r="D136" s="276"/>
      <c r="E136" s="278"/>
    </row>
    <row r="137" spans="1:5" s="266" customFormat="1" ht="24.75" customHeight="1" x14ac:dyDescent="0.2">
      <c r="A137" s="275" t="s">
        <v>105</v>
      </c>
      <c r="B137" s="333" t="s">
        <v>509</v>
      </c>
      <c r="C137" s="278"/>
      <c r="D137" s="411">
        <f>D138+D139</f>
        <v>1222</v>
      </c>
      <c r="E137" s="278"/>
    </row>
    <row r="138" spans="1:5" s="266" customFormat="1" x14ac:dyDescent="0.2">
      <c r="A138" s="279" t="s">
        <v>106</v>
      </c>
      <c r="B138" s="334" t="s">
        <v>510</v>
      </c>
      <c r="C138" s="276"/>
      <c r="D138" s="276">
        <v>817</v>
      </c>
      <c r="E138" s="278"/>
    </row>
    <row r="139" spans="1:5" s="266" customFormat="1" x14ac:dyDescent="0.2">
      <c r="A139" s="279" t="s">
        <v>107</v>
      </c>
      <c r="B139" s="334" t="s">
        <v>511</v>
      </c>
      <c r="C139" s="276"/>
      <c r="D139" s="276">
        <v>405</v>
      </c>
      <c r="E139" s="278"/>
    </row>
    <row r="140" spans="1:5" s="266" customFormat="1" x14ac:dyDescent="0.2">
      <c r="A140" s="279"/>
      <c r="B140" s="334"/>
      <c r="C140" s="276"/>
      <c r="D140" s="276"/>
      <c r="E140" s="278"/>
    </row>
    <row r="141" spans="1:5" s="266" customFormat="1" x14ac:dyDescent="0.2">
      <c r="A141" s="275" t="s">
        <v>109</v>
      </c>
      <c r="B141" s="333" t="s">
        <v>512</v>
      </c>
      <c r="C141" s="278"/>
      <c r="D141" s="278">
        <f>D142+D143</f>
        <v>1909.8200000000002</v>
      </c>
      <c r="E141" s="278"/>
    </row>
    <row r="142" spans="1:5" s="266" customFormat="1" x14ac:dyDescent="0.2">
      <c r="A142" s="279" t="s">
        <v>110</v>
      </c>
      <c r="B142" s="334" t="s">
        <v>513</v>
      </c>
      <c r="C142" s="276"/>
      <c r="D142" s="276">
        <v>1093.1500000000001</v>
      </c>
      <c r="E142" s="278"/>
    </row>
    <row r="143" spans="1:5" s="266" customFormat="1" x14ac:dyDescent="0.2">
      <c r="A143" s="279" t="s">
        <v>111</v>
      </c>
      <c r="B143" s="334" t="s">
        <v>514</v>
      </c>
      <c r="C143" s="276"/>
      <c r="D143" s="276">
        <v>816.67</v>
      </c>
      <c r="E143" s="278"/>
    </row>
    <row r="144" spans="1:5" s="266" customFormat="1" x14ac:dyDescent="0.2">
      <c r="A144" s="279"/>
      <c r="B144" s="334"/>
      <c r="C144" s="276"/>
      <c r="D144" s="276"/>
      <c r="E144" s="278"/>
    </row>
    <row r="145" spans="1:5" s="266" customFormat="1" x14ac:dyDescent="0.2">
      <c r="A145" s="279"/>
      <c r="B145" s="334"/>
      <c r="C145" s="276"/>
      <c r="D145" s="276"/>
      <c r="E145" s="278"/>
    </row>
    <row r="146" spans="1:5" s="266" customFormat="1" x14ac:dyDescent="0.2">
      <c r="A146" s="275" t="s">
        <v>112</v>
      </c>
      <c r="B146" s="320" t="s">
        <v>377</v>
      </c>
      <c r="C146" s="276"/>
      <c r="D146" s="278">
        <f>D147+D150+D153</f>
        <v>7800</v>
      </c>
      <c r="E146" s="278"/>
    </row>
    <row r="147" spans="1:5" s="266" customFormat="1" hidden="1" x14ac:dyDescent="0.2">
      <c r="A147" s="275" t="s">
        <v>115</v>
      </c>
      <c r="B147" s="320" t="s">
        <v>286</v>
      </c>
      <c r="C147" s="278"/>
      <c r="D147" s="278">
        <f>D148</f>
        <v>1000</v>
      </c>
      <c r="E147" s="276"/>
    </row>
    <row r="148" spans="1:5" s="266" customFormat="1" x14ac:dyDescent="0.2">
      <c r="A148" s="279" t="s">
        <v>544</v>
      </c>
      <c r="B148" s="321" t="s">
        <v>545</v>
      </c>
      <c r="C148" s="276" t="s">
        <v>446</v>
      </c>
      <c r="D148" s="276">
        <v>1000</v>
      </c>
      <c r="E148" s="278"/>
    </row>
    <row r="149" spans="1:5" s="266" customFormat="1" x14ac:dyDescent="0.2">
      <c r="A149" s="279"/>
      <c r="B149" s="321"/>
      <c r="C149" s="278"/>
      <c r="D149" s="276"/>
      <c r="E149" s="278"/>
    </row>
    <row r="150" spans="1:5" s="266" customFormat="1" ht="20.399999999999999" x14ac:dyDescent="0.2">
      <c r="A150" s="275" t="s">
        <v>116</v>
      </c>
      <c r="B150" s="320" t="s">
        <v>378</v>
      </c>
      <c r="C150" s="276"/>
      <c r="D150" s="278">
        <f>+D151</f>
        <v>1000</v>
      </c>
      <c r="E150" s="278"/>
    </row>
    <row r="151" spans="1:5" s="266" customFormat="1" x14ac:dyDescent="0.2">
      <c r="A151" s="279" t="s">
        <v>546</v>
      </c>
      <c r="B151" s="321" t="s">
        <v>547</v>
      </c>
      <c r="C151" s="276" t="s">
        <v>439</v>
      </c>
      <c r="D151" s="276">
        <v>1000</v>
      </c>
      <c r="E151" s="278"/>
    </row>
    <row r="152" spans="1:5" s="266" customFormat="1" ht="13.5" customHeight="1" x14ac:dyDescent="0.2">
      <c r="B152" s="329"/>
      <c r="C152" s="278"/>
      <c r="D152" s="276"/>
      <c r="E152" s="278"/>
    </row>
    <row r="153" spans="1:5" s="266" customFormat="1" ht="13.5" customHeight="1" x14ac:dyDescent="0.2">
      <c r="A153" s="275" t="s">
        <v>117</v>
      </c>
      <c r="B153" s="320" t="s">
        <v>293</v>
      </c>
      <c r="C153" s="265"/>
      <c r="D153" s="278">
        <f>SUM(D154:D157)</f>
        <v>5800</v>
      </c>
      <c r="E153" s="278"/>
    </row>
    <row r="154" spans="1:5" s="266" customFormat="1" ht="11.25" customHeight="1" x14ac:dyDescent="0.2">
      <c r="A154" s="279" t="s">
        <v>132</v>
      </c>
      <c r="B154" s="321" t="s">
        <v>133</v>
      </c>
      <c r="C154" s="276" t="s">
        <v>439</v>
      </c>
      <c r="D154" s="276">
        <v>5000</v>
      </c>
      <c r="E154" s="276"/>
    </row>
    <row r="155" spans="1:5" s="266" customFormat="1" ht="11.25" customHeight="1" x14ac:dyDescent="0.2">
      <c r="A155" s="279" t="s">
        <v>291</v>
      </c>
      <c r="B155" s="321" t="s">
        <v>403</v>
      </c>
      <c r="C155" s="276" t="s">
        <v>439</v>
      </c>
      <c r="D155" s="276">
        <v>500</v>
      </c>
      <c r="E155" s="293"/>
    </row>
    <row r="156" spans="1:5" s="266" customFormat="1" ht="11.25" customHeight="1" x14ac:dyDescent="0.2">
      <c r="A156" s="296" t="s">
        <v>191</v>
      </c>
      <c r="B156" s="327" t="s">
        <v>333</v>
      </c>
      <c r="C156" s="293" t="s">
        <v>439</v>
      </c>
      <c r="D156" s="276">
        <v>200</v>
      </c>
      <c r="E156" s="277"/>
    </row>
    <row r="157" spans="1:5" s="266" customFormat="1" ht="11.25" customHeight="1" x14ac:dyDescent="0.2">
      <c r="A157" s="279" t="s">
        <v>548</v>
      </c>
      <c r="B157" s="321" t="s">
        <v>549</v>
      </c>
      <c r="C157" s="293"/>
      <c r="D157" s="276">
        <v>100</v>
      </c>
      <c r="E157" s="277"/>
    </row>
    <row r="158" spans="1:5" s="266" customFormat="1" ht="17.25" customHeight="1" x14ac:dyDescent="0.2">
      <c r="A158" s="306"/>
      <c r="B158" s="330"/>
      <c r="C158" s="276"/>
      <c r="D158" s="276"/>
      <c r="E158" s="305"/>
    </row>
    <row r="159" spans="1:5" s="266" customFormat="1" ht="33" customHeight="1" x14ac:dyDescent="0.2">
      <c r="A159" s="307" t="s">
        <v>371</v>
      </c>
      <c r="B159" s="331" t="s">
        <v>528</v>
      </c>
      <c r="C159" s="269"/>
      <c r="D159" s="269"/>
      <c r="E159" s="270"/>
    </row>
    <row r="160" spans="1:5" s="266" customFormat="1" x14ac:dyDescent="0.2">
      <c r="A160" s="280" t="s">
        <v>329</v>
      </c>
      <c r="B160" s="322" t="s">
        <v>450</v>
      </c>
      <c r="C160" s="301"/>
      <c r="D160" s="304"/>
      <c r="E160" s="305">
        <f>+D161</f>
        <v>7500</v>
      </c>
    </row>
    <row r="161" spans="1:5" s="266" customFormat="1" x14ac:dyDescent="0.2">
      <c r="A161" s="275" t="s">
        <v>112</v>
      </c>
      <c r="B161" s="320" t="s">
        <v>377</v>
      </c>
      <c r="C161" s="276"/>
      <c r="D161" s="278">
        <f>+D162+D167+D170</f>
        <v>7500</v>
      </c>
      <c r="E161" s="278"/>
    </row>
    <row r="162" spans="1:5" s="266" customFormat="1" x14ac:dyDescent="0.2">
      <c r="A162" s="275" t="s">
        <v>113</v>
      </c>
      <c r="B162" s="320" t="s">
        <v>73</v>
      </c>
      <c r="C162" s="278"/>
      <c r="D162" s="278">
        <f>SUM(D163:D165)</f>
        <v>6800</v>
      </c>
      <c r="E162" s="276"/>
    </row>
    <row r="163" spans="1:5" s="266" customFormat="1" ht="33" customHeight="1" x14ac:dyDescent="0.2">
      <c r="A163" s="279" t="s">
        <v>336</v>
      </c>
      <c r="B163" s="321" t="s">
        <v>358</v>
      </c>
      <c r="C163" s="276" t="s">
        <v>440</v>
      </c>
      <c r="D163" s="276">
        <v>6000</v>
      </c>
      <c r="E163" s="276"/>
    </row>
    <row r="164" spans="1:5" s="266" customFormat="1" x14ac:dyDescent="0.2">
      <c r="A164" s="279" t="s">
        <v>550</v>
      </c>
      <c r="B164" s="321" t="s">
        <v>551</v>
      </c>
      <c r="C164" s="276" t="s">
        <v>440</v>
      </c>
      <c r="D164" s="276">
        <v>300</v>
      </c>
      <c r="E164" s="276"/>
    </row>
    <row r="165" spans="1:5" s="266" customFormat="1" x14ac:dyDescent="0.2">
      <c r="A165" s="279" t="s">
        <v>552</v>
      </c>
      <c r="B165" s="321" t="s">
        <v>553</v>
      </c>
      <c r="C165" s="276" t="s">
        <v>440</v>
      </c>
      <c r="D165" s="276">
        <v>500</v>
      </c>
      <c r="E165" s="276"/>
    </row>
    <row r="166" spans="1:5" s="266" customFormat="1" x14ac:dyDescent="0.2">
      <c r="A166" s="279"/>
      <c r="B166" s="321"/>
      <c r="C166" s="276"/>
      <c r="D166" s="276"/>
      <c r="E166" s="276"/>
    </row>
    <row r="167" spans="1:5" s="266" customFormat="1" x14ac:dyDescent="0.2">
      <c r="A167" s="275" t="s">
        <v>115</v>
      </c>
      <c r="B167" s="320" t="s">
        <v>359</v>
      </c>
      <c r="C167" s="276"/>
      <c r="D167" s="278">
        <f>+D168</f>
        <v>100</v>
      </c>
      <c r="E167" s="276"/>
    </row>
    <row r="168" spans="1:5" s="266" customFormat="1" ht="10.5" customHeight="1" x14ac:dyDescent="0.2">
      <c r="A168" s="279" t="s">
        <v>544</v>
      </c>
      <c r="B168" s="321" t="s">
        <v>545</v>
      </c>
      <c r="C168" s="276" t="s">
        <v>446</v>
      </c>
      <c r="D168" s="276">
        <v>100</v>
      </c>
      <c r="E168" s="276"/>
    </row>
    <row r="169" spans="1:5" s="266" customFormat="1" ht="11.25" customHeight="1" x14ac:dyDescent="0.2">
      <c r="A169" s="279"/>
      <c r="B169" s="321"/>
      <c r="C169" s="276"/>
      <c r="D169" s="276"/>
      <c r="E169" s="278"/>
    </row>
    <row r="170" spans="1:5" s="266" customFormat="1" x14ac:dyDescent="0.2">
      <c r="A170" s="275" t="s">
        <v>117</v>
      </c>
      <c r="B170" s="320" t="s">
        <v>360</v>
      </c>
      <c r="C170" s="265"/>
      <c r="D170" s="278">
        <f>+D171</f>
        <v>600</v>
      </c>
      <c r="E170" s="276"/>
    </row>
    <row r="171" spans="1:5" s="266" customFormat="1" x14ac:dyDescent="0.2">
      <c r="A171" s="279" t="s">
        <v>132</v>
      </c>
      <c r="B171" s="321" t="s">
        <v>133</v>
      </c>
      <c r="C171" s="276" t="s">
        <v>440</v>
      </c>
      <c r="D171" s="276">
        <v>600</v>
      </c>
      <c r="E171" s="276"/>
    </row>
    <row r="172" spans="1:5" s="266" customFormat="1" ht="23.25" customHeight="1" x14ac:dyDescent="0.2">
      <c r="A172" s="279"/>
      <c r="B172" s="321"/>
      <c r="C172" s="278"/>
      <c r="D172" s="276"/>
      <c r="E172" s="305"/>
    </row>
    <row r="173" spans="1:5" s="266" customFormat="1" ht="45.75" customHeight="1" x14ac:dyDescent="0.2">
      <c r="A173" s="284" t="s">
        <v>118</v>
      </c>
      <c r="B173" s="324" t="s">
        <v>372</v>
      </c>
      <c r="C173" s="303"/>
      <c r="D173" s="303"/>
      <c r="E173" s="418"/>
    </row>
    <row r="174" spans="1:5" s="266" customFormat="1" ht="30.6" x14ac:dyDescent="0.2">
      <c r="A174" s="368" t="s">
        <v>373</v>
      </c>
      <c r="B174" s="415" t="s">
        <v>560</v>
      </c>
      <c r="C174" s="303"/>
      <c r="D174" s="413"/>
      <c r="E174" s="419"/>
    </row>
    <row r="175" spans="1:5" s="266" customFormat="1" ht="45" customHeight="1" x14ac:dyDescent="0.35">
      <c r="A175" s="275" t="s">
        <v>329</v>
      </c>
      <c r="B175" s="320" t="s">
        <v>330</v>
      </c>
      <c r="C175" s="276"/>
      <c r="D175" s="278"/>
      <c r="E175" s="371">
        <f>+D176+D180+D183+D185</f>
        <v>5800</v>
      </c>
    </row>
    <row r="176" spans="1:5" s="266" customFormat="1" ht="24" customHeight="1" x14ac:dyDescent="0.2">
      <c r="A176" s="275" t="s">
        <v>112</v>
      </c>
      <c r="B176" s="320" t="s">
        <v>377</v>
      </c>
      <c r="C176" s="276" t="s">
        <v>433</v>
      </c>
      <c r="D176" s="278">
        <f>+D178</f>
        <v>500</v>
      </c>
      <c r="E176" s="278"/>
    </row>
    <row r="177" spans="1:5" s="282" customFormat="1" ht="10.5" customHeight="1" x14ac:dyDescent="0.2">
      <c r="A177" s="275" t="s">
        <v>113</v>
      </c>
      <c r="B177" s="320" t="s">
        <v>73</v>
      </c>
      <c r="C177" s="276"/>
      <c r="D177" s="278">
        <f>D178</f>
        <v>500</v>
      </c>
      <c r="E177" s="276"/>
    </row>
    <row r="178" spans="1:5" s="266" customFormat="1" ht="21.75" customHeight="1" x14ac:dyDescent="0.2">
      <c r="A178" s="279" t="s">
        <v>552</v>
      </c>
      <c r="B178" s="321" t="s">
        <v>553</v>
      </c>
      <c r="C178" s="278"/>
      <c r="D178" s="276">
        <v>500</v>
      </c>
      <c r="E178" s="305"/>
    </row>
    <row r="179" spans="1:5" s="266" customFormat="1" ht="10.5" hidden="1" customHeight="1" x14ac:dyDescent="0.2">
      <c r="A179" s="279"/>
      <c r="B179" s="321"/>
      <c r="C179" s="290"/>
      <c r="D179" s="276"/>
      <c r="E179" s="278"/>
    </row>
    <row r="180" spans="1:5" s="266" customFormat="1" ht="10.5" customHeight="1" x14ac:dyDescent="0.2">
      <c r="A180" s="275" t="s">
        <v>288</v>
      </c>
      <c r="B180" s="320" t="s">
        <v>554</v>
      </c>
      <c r="C180" s="276"/>
      <c r="D180" s="278">
        <f>D181</f>
        <v>500</v>
      </c>
      <c r="E180" s="278"/>
    </row>
    <row r="181" spans="1:5" s="266" customFormat="1" ht="14.25" customHeight="1" x14ac:dyDescent="0.2">
      <c r="A181" s="279" t="s">
        <v>558</v>
      </c>
      <c r="B181" s="321" t="s">
        <v>556</v>
      </c>
      <c r="C181" s="276"/>
      <c r="D181" s="276">
        <v>500</v>
      </c>
      <c r="E181" s="276"/>
    </row>
    <row r="182" spans="1:5" s="266" customFormat="1" ht="10.5" customHeight="1" x14ac:dyDescent="0.2">
      <c r="A182" s="279"/>
      <c r="B182" s="321"/>
      <c r="C182" s="278"/>
      <c r="D182" s="276"/>
      <c r="E182" s="276"/>
    </row>
    <row r="183" spans="1:5" s="266" customFormat="1" ht="10.5" customHeight="1" x14ac:dyDescent="0.2">
      <c r="A183" s="275" t="s">
        <v>116</v>
      </c>
      <c r="B183" s="320" t="s">
        <v>378</v>
      </c>
      <c r="C183" s="276"/>
      <c r="D183" s="278">
        <f>+D184</f>
        <v>800</v>
      </c>
      <c r="E183" s="276"/>
    </row>
    <row r="184" spans="1:5" s="266" customFormat="1" ht="10.5" customHeight="1" x14ac:dyDescent="0.2">
      <c r="A184" s="279" t="s">
        <v>546</v>
      </c>
      <c r="B184" s="321" t="s">
        <v>547</v>
      </c>
      <c r="C184" s="276" t="s">
        <v>439</v>
      </c>
      <c r="D184" s="276">
        <v>800</v>
      </c>
      <c r="E184" s="277"/>
    </row>
    <row r="185" spans="1:5" s="266" customFormat="1" ht="10.5" customHeight="1" x14ac:dyDescent="0.2">
      <c r="A185" s="275" t="s">
        <v>117</v>
      </c>
      <c r="B185" s="320" t="s">
        <v>293</v>
      </c>
      <c r="C185" s="276" t="s">
        <v>433</v>
      </c>
      <c r="D185" s="278">
        <f>SUM(D186:D186)</f>
        <v>4000</v>
      </c>
      <c r="E185" s="276"/>
    </row>
    <row r="186" spans="1:5" s="266" customFormat="1" ht="10.5" customHeight="1" x14ac:dyDescent="0.2">
      <c r="A186" s="279" t="s">
        <v>316</v>
      </c>
      <c r="B186" s="321" t="s">
        <v>337</v>
      </c>
      <c r="C186" s="276"/>
      <c r="D186" s="276">
        <v>4000</v>
      </c>
      <c r="E186" s="295"/>
    </row>
    <row r="187" spans="1:5" s="266" customFormat="1" ht="10.5" customHeight="1" x14ac:dyDescent="0.2">
      <c r="A187" s="279"/>
      <c r="B187" s="321"/>
      <c r="C187" s="278"/>
      <c r="D187" s="276"/>
      <c r="E187" s="305"/>
    </row>
    <row r="188" spans="1:5" s="266" customFormat="1" ht="10.5" customHeight="1" x14ac:dyDescent="0.2">
      <c r="A188" s="362" t="s">
        <v>118</v>
      </c>
      <c r="B188" s="369" t="s">
        <v>321</v>
      </c>
      <c r="C188" s="297"/>
      <c r="D188" s="298"/>
      <c r="E188" s="270"/>
    </row>
    <row r="189" spans="1:5" s="266" customFormat="1" ht="38.25" customHeight="1" x14ac:dyDescent="0.2">
      <c r="A189" s="368" t="s">
        <v>307</v>
      </c>
      <c r="B189" s="318" t="s">
        <v>561</v>
      </c>
      <c r="C189" s="269"/>
      <c r="D189" s="269"/>
      <c r="E189" s="268"/>
    </row>
    <row r="190" spans="1:5" s="266" customFormat="1" x14ac:dyDescent="0.2">
      <c r="A190" s="275" t="s">
        <v>329</v>
      </c>
      <c r="B190" s="320" t="s">
        <v>330</v>
      </c>
      <c r="C190" s="276"/>
      <c r="D190" s="278"/>
      <c r="E190" s="305">
        <f>+D191+D195++D206</f>
        <v>20170.350000000002</v>
      </c>
    </row>
    <row r="191" spans="1:5" s="282" customFormat="1" ht="15.75" customHeight="1" x14ac:dyDescent="0.2">
      <c r="A191" s="343" t="s">
        <v>102</v>
      </c>
      <c r="B191" s="332" t="s">
        <v>344</v>
      </c>
      <c r="C191" s="276"/>
      <c r="D191" s="277">
        <f>D192</f>
        <v>4000</v>
      </c>
      <c r="E191" s="264"/>
    </row>
    <row r="192" spans="1:5" s="266" customFormat="1" ht="18" customHeight="1" x14ac:dyDescent="0.2">
      <c r="A192" s="275" t="s">
        <v>108</v>
      </c>
      <c r="B192" s="333" t="s">
        <v>287</v>
      </c>
      <c r="C192" s="278"/>
      <c r="D192" s="278">
        <f>SUM(D193:D193)</f>
        <v>4000</v>
      </c>
      <c r="E192" s="277"/>
    </row>
    <row r="193" spans="1:5" s="266" customFormat="1" x14ac:dyDescent="0.2">
      <c r="A193" s="279" t="s">
        <v>555</v>
      </c>
      <c r="B193" s="321" t="s">
        <v>487</v>
      </c>
      <c r="C193" s="276" t="s">
        <v>433</v>
      </c>
      <c r="D193" s="276">
        <v>4000</v>
      </c>
      <c r="E193" s="277"/>
    </row>
    <row r="194" spans="1:5" s="266" customFormat="1" x14ac:dyDescent="0.2">
      <c r="A194" s="279"/>
      <c r="B194" s="321"/>
      <c r="C194" s="278"/>
      <c r="D194" s="276"/>
      <c r="E194" s="277"/>
    </row>
    <row r="195" spans="1:5" s="266" customFormat="1" x14ac:dyDescent="0.2">
      <c r="A195" s="275" t="s">
        <v>112</v>
      </c>
      <c r="B195" s="320" t="s">
        <v>343</v>
      </c>
      <c r="C195" s="276"/>
      <c r="D195" s="423">
        <f>+D199+D202+D196</f>
        <v>15344.61</v>
      </c>
      <c r="E195" s="277"/>
    </row>
    <row r="196" spans="1:5" s="266" customFormat="1" x14ac:dyDescent="0.2">
      <c r="A196" s="275" t="s">
        <v>530</v>
      </c>
      <c r="B196" s="320" t="s">
        <v>532</v>
      </c>
      <c r="C196" s="276"/>
      <c r="D196" s="276">
        <f>D197</f>
        <v>0</v>
      </c>
      <c r="E196" s="277"/>
    </row>
    <row r="197" spans="1:5" s="266" customFormat="1" x14ac:dyDescent="0.2">
      <c r="A197" s="275" t="s">
        <v>531</v>
      </c>
      <c r="B197" s="321" t="s">
        <v>533</v>
      </c>
      <c r="C197" s="276"/>
      <c r="D197" s="276"/>
      <c r="E197" s="277"/>
    </row>
    <row r="198" spans="1:5" s="266" customFormat="1" x14ac:dyDescent="0.2">
      <c r="A198" s="275"/>
      <c r="B198" s="320"/>
      <c r="C198" s="276"/>
      <c r="D198" s="278"/>
      <c r="E198" s="277"/>
    </row>
    <row r="199" spans="1:5" s="266" customFormat="1" x14ac:dyDescent="0.2">
      <c r="A199" s="275" t="s">
        <v>117</v>
      </c>
      <c r="B199" s="320" t="s">
        <v>293</v>
      </c>
      <c r="C199" s="276"/>
      <c r="D199" s="423">
        <f>SUM(D200:D201)</f>
        <v>10000</v>
      </c>
      <c r="E199" s="277"/>
    </row>
    <row r="200" spans="1:5" s="266" customFormat="1" ht="30.6" x14ac:dyDescent="0.2">
      <c r="A200" s="279" t="s">
        <v>316</v>
      </c>
      <c r="B200" s="422" t="s">
        <v>515</v>
      </c>
      <c r="C200" s="276" t="s">
        <v>433</v>
      </c>
      <c r="D200" s="276">
        <v>10000</v>
      </c>
      <c r="E200" s="277"/>
    </row>
    <row r="201" spans="1:5" s="266" customFormat="1" x14ac:dyDescent="0.2">
      <c r="A201" s="279"/>
      <c r="B201" s="373"/>
      <c r="C201" s="276"/>
      <c r="D201" s="276"/>
      <c r="E201" s="277"/>
    </row>
    <row r="202" spans="1:5" s="266" customFormat="1" x14ac:dyDescent="0.2">
      <c r="A202" s="275" t="s">
        <v>115</v>
      </c>
      <c r="B202" s="320" t="s">
        <v>286</v>
      </c>
      <c r="C202" s="278"/>
      <c r="D202" s="278">
        <f>D203</f>
        <v>5344.61</v>
      </c>
      <c r="E202" s="277"/>
    </row>
    <row r="203" spans="1:5" s="266" customFormat="1" x14ac:dyDescent="0.2">
      <c r="A203" s="279" t="s">
        <v>338</v>
      </c>
      <c r="B203" s="321" t="s">
        <v>366</v>
      </c>
      <c r="C203" s="276" t="s">
        <v>433</v>
      </c>
      <c r="D203" s="276">
        <v>5344.61</v>
      </c>
      <c r="E203" s="277"/>
    </row>
    <row r="204" spans="1:5" s="266" customFormat="1" x14ac:dyDescent="0.2">
      <c r="A204" s="279"/>
      <c r="B204" s="321"/>
      <c r="C204" s="276"/>
      <c r="D204" s="276"/>
      <c r="E204" s="277"/>
    </row>
    <row r="205" spans="1:5" s="266" customFormat="1" ht="23.4" customHeight="1" x14ac:dyDescent="0.2">
      <c r="A205" s="279"/>
      <c r="B205" s="321"/>
      <c r="C205" s="276"/>
      <c r="D205" s="276"/>
      <c r="E205" s="277"/>
    </row>
    <row r="206" spans="1:5" s="266" customFormat="1" x14ac:dyDescent="0.2">
      <c r="A206" s="292" t="s">
        <v>473</v>
      </c>
      <c r="B206" s="326" t="s">
        <v>474</v>
      </c>
      <c r="C206" s="295"/>
      <c r="D206" s="294">
        <f>+D207</f>
        <v>825.74</v>
      </c>
      <c r="E206" s="277"/>
    </row>
    <row r="207" spans="1:5" s="266" customFormat="1" x14ac:dyDescent="0.2">
      <c r="A207" s="275" t="s">
        <v>471</v>
      </c>
      <c r="B207" s="320" t="s">
        <v>475</v>
      </c>
      <c r="C207" s="277"/>
      <c r="D207" s="278">
        <f>+D208</f>
        <v>825.74</v>
      </c>
      <c r="E207" s="277"/>
    </row>
    <row r="208" spans="1:5" s="266" customFormat="1" ht="20.399999999999999" x14ac:dyDescent="0.2">
      <c r="A208" s="279" t="s">
        <v>557</v>
      </c>
      <c r="B208" s="321" t="s">
        <v>472</v>
      </c>
      <c r="C208" s="277"/>
      <c r="D208" s="276">
        <v>825.74</v>
      </c>
      <c r="E208" s="277"/>
    </row>
    <row r="209" spans="1:5" s="266" customFormat="1" x14ac:dyDescent="0.2">
      <c r="A209" s="279"/>
      <c r="B209" s="321"/>
      <c r="C209" s="277"/>
      <c r="D209" s="276"/>
      <c r="E209" s="305"/>
    </row>
    <row r="210" spans="1:5" s="266" customFormat="1" x14ac:dyDescent="0.2">
      <c r="A210" s="362" t="s">
        <v>118</v>
      </c>
      <c r="B210" s="369" t="s">
        <v>374</v>
      </c>
      <c r="C210" s="413"/>
      <c r="D210" s="303"/>
      <c r="E210" s="303"/>
    </row>
    <row r="211" spans="1:5" s="266" customFormat="1" ht="35.25" customHeight="1" x14ac:dyDescent="0.2">
      <c r="A211" s="307" t="s">
        <v>373</v>
      </c>
      <c r="B211" s="412" t="s">
        <v>527</v>
      </c>
      <c r="C211" s="299"/>
      <c r="D211" s="299"/>
      <c r="E211" s="268"/>
    </row>
    <row r="212" spans="1:5" s="282" customFormat="1" ht="12" x14ac:dyDescent="0.35">
      <c r="A212" s="338">
        <v>7</v>
      </c>
      <c r="B212" s="328" t="s">
        <v>330</v>
      </c>
      <c r="C212" s="291"/>
      <c r="D212" s="337"/>
      <c r="E212" s="372">
        <f>+D214</f>
        <v>18443.46</v>
      </c>
    </row>
    <row r="213" spans="1:5" s="266" customFormat="1" x14ac:dyDescent="0.2">
      <c r="A213" s="279"/>
      <c r="B213" s="321"/>
      <c r="C213" s="276"/>
      <c r="D213" s="276"/>
      <c r="E213" s="277"/>
    </row>
    <row r="214" spans="1:5" s="266" customFormat="1" x14ac:dyDescent="0.2">
      <c r="A214" s="275" t="s">
        <v>112</v>
      </c>
      <c r="B214" s="320" t="s">
        <v>377</v>
      </c>
      <c r="C214" s="276"/>
      <c r="D214" s="278">
        <f>+D215+D220</f>
        <v>18443.46</v>
      </c>
      <c r="E214" s="277"/>
    </row>
    <row r="215" spans="1:5" s="266" customFormat="1" x14ac:dyDescent="0.2">
      <c r="A215" s="275" t="s">
        <v>288</v>
      </c>
      <c r="B215" s="320" t="s">
        <v>290</v>
      </c>
      <c r="C215" s="276"/>
      <c r="D215" s="278">
        <f>D216+D217+D218</f>
        <v>4200</v>
      </c>
      <c r="E215" s="277"/>
    </row>
    <row r="216" spans="1:5" s="266" customFormat="1" x14ac:dyDescent="0.2">
      <c r="A216" s="279" t="s">
        <v>558</v>
      </c>
      <c r="B216" s="321" t="s">
        <v>559</v>
      </c>
      <c r="C216" s="276"/>
      <c r="D216" s="276">
        <v>3000</v>
      </c>
      <c r="E216" s="281"/>
    </row>
    <row r="217" spans="1:5" s="266" customFormat="1" x14ac:dyDescent="0.2">
      <c r="A217" s="279" t="s">
        <v>289</v>
      </c>
      <c r="B217" s="321" t="s">
        <v>342</v>
      </c>
      <c r="C217" s="276" t="s">
        <v>441</v>
      </c>
      <c r="D217" s="276">
        <v>200</v>
      </c>
      <c r="E217" s="277"/>
    </row>
    <row r="218" spans="1:5" s="266" customFormat="1" x14ac:dyDescent="0.2">
      <c r="A218" s="279" t="s">
        <v>544</v>
      </c>
      <c r="B218" s="321" t="s">
        <v>545</v>
      </c>
      <c r="C218" s="276"/>
      <c r="D218" s="276">
        <v>1000</v>
      </c>
      <c r="E218" s="277"/>
    </row>
    <row r="219" spans="1:5" s="266" customFormat="1" x14ac:dyDescent="0.2">
      <c r="A219" s="279"/>
      <c r="B219" s="321"/>
      <c r="C219" s="278" t="s">
        <v>334</v>
      </c>
      <c r="D219" s="276"/>
      <c r="E219" s="277"/>
    </row>
    <row r="220" spans="1:5" s="266" customFormat="1" x14ac:dyDescent="0.2">
      <c r="A220" s="275" t="s">
        <v>117</v>
      </c>
      <c r="B220" s="320" t="s">
        <v>119</v>
      </c>
      <c r="C220" s="278"/>
      <c r="D220" s="278">
        <f>SUM(D221:D226)</f>
        <v>14243.46</v>
      </c>
      <c r="E220" s="277"/>
    </row>
    <row r="221" spans="1:5" s="266" customFormat="1" x14ac:dyDescent="0.2">
      <c r="A221" s="279" t="s">
        <v>132</v>
      </c>
      <c r="B221" s="321" t="s">
        <v>133</v>
      </c>
      <c r="C221" s="276" t="s">
        <v>440</v>
      </c>
      <c r="D221" s="276">
        <v>1000</v>
      </c>
      <c r="E221" s="276"/>
    </row>
    <row r="222" spans="1:5" s="266" customFormat="1" ht="20.399999999999999" x14ac:dyDescent="0.2">
      <c r="A222" s="279" t="s">
        <v>291</v>
      </c>
      <c r="B222" s="321" t="s">
        <v>335</v>
      </c>
      <c r="C222" s="276" t="s">
        <v>441</v>
      </c>
      <c r="D222" s="276">
        <v>85</v>
      </c>
      <c r="E222" s="277"/>
    </row>
    <row r="223" spans="1:5" s="266" customFormat="1" x14ac:dyDescent="0.2">
      <c r="A223" s="279" t="s">
        <v>292</v>
      </c>
      <c r="B223" s="321" t="s">
        <v>341</v>
      </c>
      <c r="C223" s="276" t="s">
        <v>446</v>
      </c>
      <c r="D223" s="276">
        <v>80</v>
      </c>
      <c r="E223" s="277"/>
    </row>
    <row r="224" spans="1:5" s="266" customFormat="1" x14ac:dyDescent="0.2">
      <c r="A224" s="279" t="s">
        <v>362</v>
      </c>
      <c r="B224" s="321" t="s">
        <v>361</v>
      </c>
      <c r="C224" s="276" t="s">
        <v>441</v>
      </c>
      <c r="D224" s="276">
        <v>500</v>
      </c>
      <c r="E224" s="277"/>
    </row>
    <row r="225" spans="1:5" s="266" customFormat="1" x14ac:dyDescent="0.2">
      <c r="A225" s="279" t="s">
        <v>306</v>
      </c>
      <c r="B225" s="321" t="s">
        <v>363</v>
      </c>
      <c r="C225" s="276" t="s">
        <v>441</v>
      </c>
      <c r="D225" s="276">
        <v>11813.46</v>
      </c>
      <c r="E225" s="277"/>
    </row>
    <row r="226" spans="1:5" s="266" customFormat="1" x14ac:dyDescent="0.2">
      <c r="A226" s="279" t="s">
        <v>413</v>
      </c>
      <c r="B226" s="321" t="s">
        <v>416</v>
      </c>
      <c r="C226" s="276" t="s">
        <v>441</v>
      </c>
      <c r="D226" s="276">
        <v>765</v>
      </c>
      <c r="E226" s="277"/>
    </row>
    <row r="227" spans="1:5" s="266" customFormat="1" x14ac:dyDescent="0.2">
      <c r="A227" s="309"/>
      <c r="B227" s="335"/>
      <c r="C227" s="278"/>
      <c r="D227" s="276"/>
      <c r="E227" s="295"/>
    </row>
    <row r="228" spans="1:5" s="266" customFormat="1" ht="20.399999999999999" x14ac:dyDescent="0.2">
      <c r="A228" s="310" t="s">
        <v>307</v>
      </c>
      <c r="B228" s="325" t="s">
        <v>469</v>
      </c>
      <c r="C228" s="288"/>
      <c r="D228" s="289"/>
      <c r="E228" s="289"/>
    </row>
    <row r="229" spans="1:5" s="266" customFormat="1" ht="12" x14ac:dyDescent="0.35">
      <c r="A229" s="279" t="s">
        <v>329</v>
      </c>
      <c r="B229" s="320" t="s">
        <v>330</v>
      </c>
      <c r="C229" s="276"/>
      <c r="D229" s="278"/>
      <c r="E229" s="372">
        <f>+D230</f>
        <v>7000</v>
      </c>
    </row>
    <row r="230" spans="1:5" s="266" customFormat="1" x14ac:dyDescent="0.2">
      <c r="A230" s="275" t="s">
        <v>112</v>
      </c>
      <c r="B230" s="322" t="s">
        <v>308</v>
      </c>
      <c r="C230" s="276"/>
      <c r="D230" s="278">
        <f>SUM(D231)</f>
        <v>7000</v>
      </c>
      <c r="E230" s="277"/>
    </row>
    <row r="231" spans="1:5" s="266" customFormat="1" ht="20.399999999999999" x14ac:dyDescent="0.2">
      <c r="A231" s="275" t="s">
        <v>116</v>
      </c>
      <c r="B231" s="320" t="s">
        <v>309</v>
      </c>
      <c r="C231" s="276"/>
      <c r="D231" s="278">
        <f>SUM(D232:D233)</f>
        <v>7000</v>
      </c>
      <c r="E231" s="277"/>
    </row>
    <row r="232" spans="1:5" s="266" customFormat="1" ht="20.399999999999999" x14ac:dyDescent="0.2">
      <c r="A232" s="279" t="s">
        <v>414</v>
      </c>
      <c r="B232" s="321" t="s">
        <v>309</v>
      </c>
      <c r="C232" s="276" t="s">
        <v>433</v>
      </c>
      <c r="D232" s="276">
        <v>3000</v>
      </c>
      <c r="E232" s="277"/>
    </row>
    <row r="233" spans="1:5" s="266" customFormat="1" x14ac:dyDescent="0.2">
      <c r="A233" s="279" t="s">
        <v>519</v>
      </c>
      <c r="B233" s="321" t="s">
        <v>520</v>
      </c>
      <c r="C233" s="276"/>
      <c r="D233" s="276">
        <v>4000</v>
      </c>
      <c r="E233" s="277"/>
    </row>
    <row r="234" spans="1:5" x14ac:dyDescent="0.2">
      <c r="A234" s="279"/>
      <c r="B234" s="321"/>
      <c r="C234" s="276"/>
      <c r="D234" s="276"/>
      <c r="E234" s="277"/>
    </row>
    <row r="235" spans="1:5" x14ac:dyDescent="0.2">
      <c r="A235" s="413" t="s">
        <v>307</v>
      </c>
      <c r="B235" s="413" t="s">
        <v>521</v>
      </c>
      <c r="C235" s="303"/>
      <c r="D235" s="303"/>
      <c r="E235" s="413">
        <f>D236+D238</f>
        <v>7000</v>
      </c>
    </row>
    <row r="236" spans="1:5" x14ac:dyDescent="0.2">
      <c r="A236" s="275" t="s">
        <v>117</v>
      </c>
      <c r="B236" s="320" t="s">
        <v>293</v>
      </c>
      <c r="C236" s="276"/>
      <c r="D236" s="278">
        <f>D237</f>
        <v>6000</v>
      </c>
      <c r="E236" s="276"/>
    </row>
    <row r="237" spans="1:5" ht="40.799999999999997" x14ac:dyDescent="0.2">
      <c r="A237" s="279" t="s">
        <v>316</v>
      </c>
      <c r="B237" s="321" t="s">
        <v>339</v>
      </c>
      <c r="C237" s="264" t="s">
        <v>433</v>
      </c>
      <c r="D237" s="276">
        <v>6000</v>
      </c>
      <c r="E237" s="276"/>
    </row>
    <row r="238" spans="1:5" x14ac:dyDescent="0.2">
      <c r="A238" s="275" t="s">
        <v>108</v>
      </c>
      <c r="B238" s="333" t="s">
        <v>287</v>
      </c>
      <c r="C238" s="278"/>
      <c r="D238" s="278">
        <f>SUM(D239:D239)</f>
        <v>1000</v>
      </c>
      <c r="E238" s="277"/>
    </row>
    <row r="239" spans="1:5" x14ac:dyDescent="0.2">
      <c r="A239" s="279" t="s">
        <v>555</v>
      </c>
      <c r="B239" s="321" t="s">
        <v>487</v>
      </c>
      <c r="C239" s="276" t="s">
        <v>433</v>
      </c>
      <c r="D239" s="276">
        <v>1000</v>
      </c>
      <c r="E239" s="277"/>
    </row>
    <row r="240" spans="1:5" x14ac:dyDescent="0.2">
      <c r="A240" s="275"/>
      <c r="B240" s="320"/>
      <c r="C240" s="276"/>
      <c r="D240" s="276"/>
      <c r="E240" s="276"/>
    </row>
    <row r="241" spans="1:5" x14ac:dyDescent="0.2">
      <c r="A241" s="413" t="s">
        <v>307</v>
      </c>
      <c r="B241" s="413" t="s">
        <v>522</v>
      </c>
      <c r="C241" s="303"/>
      <c r="D241" s="303"/>
      <c r="E241" s="413">
        <f>D242</f>
        <v>5000</v>
      </c>
    </row>
    <row r="242" spans="1:5" x14ac:dyDescent="0.2">
      <c r="A242" s="275" t="s">
        <v>117</v>
      </c>
      <c r="B242" s="320" t="s">
        <v>293</v>
      </c>
      <c r="C242" s="276"/>
      <c r="D242" s="278">
        <f>D243</f>
        <v>5000</v>
      </c>
      <c r="E242" s="276"/>
    </row>
    <row r="243" spans="1:5" ht="30.6" x14ac:dyDescent="0.2">
      <c r="A243" s="279" t="s">
        <v>316</v>
      </c>
      <c r="B243" s="321" t="s">
        <v>515</v>
      </c>
      <c r="C243" s="264" t="s">
        <v>433</v>
      </c>
      <c r="D243" s="276">
        <v>5000</v>
      </c>
      <c r="E243" s="276"/>
    </row>
    <row r="244" spans="1:5" x14ac:dyDescent="0.2">
      <c r="A244" s="275"/>
      <c r="B244" s="320"/>
      <c r="C244" s="276"/>
      <c r="D244" s="276"/>
      <c r="E244" s="276"/>
    </row>
    <row r="245" spans="1:5" ht="20.399999999999999" x14ac:dyDescent="0.2">
      <c r="A245" s="312" t="s">
        <v>307</v>
      </c>
      <c r="B245" s="325" t="s">
        <v>562</v>
      </c>
      <c r="C245" s="414"/>
      <c r="D245" s="414"/>
      <c r="E245" s="413">
        <f>D246+D249</f>
        <v>9633.17</v>
      </c>
    </row>
    <row r="246" spans="1:5" x14ac:dyDescent="0.2">
      <c r="A246" s="275" t="s">
        <v>108</v>
      </c>
      <c r="B246" s="333" t="s">
        <v>287</v>
      </c>
      <c r="C246" s="278"/>
      <c r="D246" s="278">
        <f>SUM(D247:D247)</f>
        <v>3633.17</v>
      </c>
      <c r="E246" s="277"/>
    </row>
    <row r="247" spans="1:5" x14ac:dyDescent="0.2">
      <c r="A247" s="279" t="s">
        <v>555</v>
      </c>
      <c r="B247" s="321" t="s">
        <v>487</v>
      </c>
      <c r="C247" s="276" t="s">
        <v>433</v>
      </c>
      <c r="D247" s="276">
        <v>3633.17</v>
      </c>
      <c r="E247" s="277"/>
    </row>
    <row r="248" spans="1:5" x14ac:dyDescent="0.2">
      <c r="A248" s="275"/>
      <c r="B248" s="320"/>
      <c r="C248" s="278"/>
      <c r="D248" s="278"/>
      <c r="E248" s="277"/>
    </row>
    <row r="249" spans="1:5" x14ac:dyDescent="0.2">
      <c r="A249" s="275" t="s">
        <v>117</v>
      </c>
      <c r="B249" s="320" t="s">
        <v>293</v>
      </c>
      <c r="C249" s="276"/>
      <c r="D249" s="278">
        <f>D250+D253</f>
        <v>6000</v>
      </c>
      <c r="E249" s="276"/>
    </row>
    <row r="250" spans="1:5" ht="30.6" x14ac:dyDescent="0.2">
      <c r="A250" s="279" t="s">
        <v>316</v>
      </c>
      <c r="B250" s="321" t="s">
        <v>524</v>
      </c>
      <c r="C250" s="264" t="s">
        <v>433</v>
      </c>
      <c r="D250" s="276">
        <v>5000</v>
      </c>
      <c r="E250" s="276"/>
    </row>
    <row r="251" spans="1:5" x14ac:dyDescent="0.2">
      <c r="A251" s="279"/>
      <c r="B251" s="321"/>
      <c r="C251" s="264"/>
      <c r="D251" s="276"/>
      <c r="E251" s="276"/>
    </row>
    <row r="252" spans="1:5" x14ac:dyDescent="0.2">
      <c r="A252" s="275" t="s">
        <v>115</v>
      </c>
      <c r="B252" s="320" t="s">
        <v>286</v>
      </c>
      <c r="C252" s="264"/>
      <c r="D252" s="278">
        <f>D253</f>
        <v>1000</v>
      </c>
      <c r="E252" s="276"/>
    </row>
    <row r="253" spans="1:5" x14ac:dyDescent="0.2">
      <c r="A253" s="279" t="s">
        <v>523</v>
      </c>
      <c r="B253" s="321" t="s">
        <v>366</v>
      </c>
      <c r="C253" s="276"/>
      <c r="D253" s="276">
        <v>1000</v>
      </c>
      <c r="E253" s="277"/>
    </row>
    <row r="254" spans="1:5" x14ac:dyDescent="0.2">
      <c r="A254" s="279"/>
      <c r="B254" s="334"/>
      <c r="C254" s="337"/>
      <c r="D254" s="337"/>
      <c r="E254" s="277"/>
    </row>
    <row r="255" spans="1:5" ht="28.8" customHeight="1" x14ac:dyDescent="0.2">
      <c r="A255" s="312" t="s">
        <v>307</v>
      </c>
      <c r="B255" s="325" t="s">
        <v>578</v>
      </c>
      <c r="C255" s="414"/>
      <c r="D255" s="414"/>
      <c r="E255" s="413">
        <f>D256+D259+D263</f>
        <v>28505.43</v>
      </c>
    </row>
    <row r="256" spans="1:5" x14ac:dyDescent="0.2">
      <c r="A256" s="275" t="s">
        <v>113</v>
      </c>
      <c r="B256" s="333" t="s">
        <v>579</v>
      </c>
      <c r="C256" s="278"/>
      <c r="D256" s="278">
        <f>SUM(D257:D257)</f>
        <v>44.8</v>
      </c>
      <c r="E256" s="277"/>
    </row>
    <row r="257" spans="1:5" x14ac:dyDescent="0.2">
      <c r="A257" s="279" t="s">
        <v>550</v>
      </c>
      <c r="B257" s="321" t="s">
        <v>585</v>
      </c>
      <c r="C257" s="276" t="s">
        <v>433</v>
      </c>
      <c r="D257" s="276">
        <v>44.8</v>
      </c>
      <c r="E257" s="277"/>
    </row>
    <row r="258" spans="1:5" x14ac:dyDescent="0.2">
      <c r="A258" s="275"/>
      <c r="B258" s="320"/>
      <c r="C258" s="278"/>
      <c r="D258" s="278"/>
      <c r="E258" s="277"/>
    </row>
    <row r="259" spans="1:5" x14ac:dyDescent="0.2">
      <c r="A259" s="275" t="s">
        <v>117</v>
      </c>
      <c r="B259" s="320" t="s">
        <v>293</v>
      </c>
      <c r="C259" s="276"/>
      <c r="D259" s="278">
        <f>SUM(D260:D261)</f>
        <v>480.28999999999996</v>
      </c>
      <c r="E259" s="276"/>
    </row>
    <row r="260" spans="1:5" x14ac:dyDescent="0.2">
      <c r="A260" s="279" t="s">
        <v>191</v>
      </c>
      <c r="B260" s="321" t="s">
        <v>333</v>
      </c>
      <c r="C260" s="264" t="s">
        <v>433</v>
      </c>
      <c r="D260" s="276">
        <v>285.38</v>
      </c>
      <c r="E260" s="276"/>
    </row>
    <row r="261" spans="1:5" x14ac:dyDescent="0.2">
      <c r="A261" s="279" t="s">
        <v>517</v>
      </c>
      <c r="B261" s="321" t="s">
        <v>586</v>
      </c>
      <c r="C261" s="264"/>
      <c r="D261" s="276">
        <v>194.91</v>
      </c>
      <c r="E261" s="276"/>
    </row>
    <row r="262" spans="1:5" x14ac:dyDescent="0.2">
      <c r="A262" s="279"/>
      <c r="B262" s="321"/>
      <c r="C262" s="264"/>
      <c r="D262" s="276"/>
      <c r="E262" s="276"/>
    </row>
    <row r="263" spans="1:5" x14ac:dyDescent="0.2">
      <c r="A263" s="275" t="s">
        <v>580</v>
      </c>
      <c r="B263" s="320" t="s">
        <v>581</v>
      </c>
      <c r="C263" s="264"/>
      <c r="D263" s="278">
        <f>SUM(D264:D266)</f>
        <v>27980.34</v>
      </c>
      <c r="E263" s="276"/>
    </row>
    <row r="264" spans="1:5" x14ac:dyDescent="0.2">
      <c r="A264" s="279" t="s">
        <v>583</v>
      </c>
      <c r="B264" s="450" t="s">
        <v>584</v>
      </c>
      <c r="C264" s="276"/>
      <c r="D264" s="276">
        <v>4337.6899999999996</v>
      </c>
      <c r="E264" s="277"/>
    </row>
    <row r="265" spans="1:5" x14ac:dyDescent="0.2">
      <c r="A265" s="279" t="s">
        <v>582</v>
      </c>
      <c r="B265" s="321" t="s">
        <v>366</v>
      </c>
      <c r="C265" s="337"/>
      <c r="D265" s="337">
        <v>21634.49</v>
      </c>
      <c r="E265" s="277"/>
    </row>
    <row r="266" spans="1:5" x14ac:dyDescent="0.2">
      <c r="A266" s="279" t="s">
        <v>582</v>
      </c>
      <c r="B266" s="334" t="s">
        <v>535</v>
      </c>
      <c r="C266" s="337"/>
      <c r="D266" s="337">
        <v>2008.16</v>
      </c>
      <c r="E266" s="277"/>
    </row>
    <row r="267" spans="1:5" x14ac:dyDescent="0.2">
      <c r="A267" s="279"/>
      <c r="B267" s="334"/>
      <c r="C267" s="337"/>
      <c r="D267" s="337"/>
      <c r="E267" s="277"/>
    </row>
    <row r="268" spans="1:5" x14ac:dyDescent="0.2">
      <c r="A268" s="420">
        <v>9.6999999999999993</v>
      </c>
      <c r="B268" s="324" t="s">
        <v>563</v>
      </c>
      <c r="C268" s="303"/>
      <c r="D268" s="413"/>
      <c r="E268" s="421"/>
    </row>
    <row r="269" spans="1:5" x14ac:dyDescent="0.2">
      <c r="A269" s="279" t="s">
        <v>564</v>
      </c>
      <c r="B269" s="321" t="s">
        <v>565</v>
      </c>
      <c r="C269" s="276"/>
      <c r="D269" s="276">
        <v>7866.83</v>
      </c>
      <c r="E269" s="277"/>
    </row>
    <row r="270" spans="1:5" x14ac:dyDescent="0.2">
      <c r="A270" s="283"/>
      <c r="B270" s="323"/>
      <c r="C270" s="282"/>
      <c r="D270" s="265"/>
      <c r="E270" s="274">
        <f>E245+E229+E212+E190+E175+E160+E131+E112+E88+E5+E241+E235+E82+E255+D269</f>
        <v>409328.245</v>
      </c>
    </row>
    <row r="271" spans="1:5" x14ac:dyDescent="0.2">
      <c r="A271" s="283"/>
      <c r="B271" s="323" t="s">
        <v>447</v>
      </c>
      <c r="C271" s="282" t="s">
        <v>494</v>
      </c>
      <c r="D271" s="265"/>
      <c r="E271" s="311"/>
    </row>
    <row r="272" spans="1:5" x14ac:dyDescent="0.2">
      <c r="A272" s="266"/>
      <c r="B272" s="329"/>
      <c r="C272" s="265"/>
      <c r="D272" s="266"/>
      <c r="E272" s="300"/>
    </row>
    <row r="273" spans="1:5" x14ac:dyDescent="0.2">
      <c r="A273" s="283"/>
      <c r="B273" s="323"/>
      <c r="C273" s="300"/>
      <c r="D273" s="265"/>
      <c r="E273" s="300"/>
    </row>
    <row r="274" spans="1:5" x14ac:dyDescent="0.2">
      <c r="A274" s="283"/>
      <c r="B274" s="323" t="s">
        <v>449</v>
      </c>
      <c r="C274" s="265"/>
      <c r="D274" s="266"/>
      <c r="E274" s="300"/>
    </row>
    <row r="275" spans="1:5" x14ac:dyDescent="0.2">
      <c r="A275" s="283"/>
      <c r="B275" s="323" t="s">
        <v>197</v>
      </c>
      <c r="C275" s="265"/>
      <c r="D275" s="266"/>
      <c r="E275" s="300"/>
    </row>
    <row r="276" spans="1:5" ht="15.6" x14ac:dyDescent="0.3">
      <c r="A276" s="283"/>
      <c r="B276" s="323"/>
      <c r="C276" s="313"/>
      <c r="D276" s="265"/>
      <c r="E276" s="300"/>
    </row>
    <row r="277" spans="1:5" x14ac:dyDescent="0.2">
      <c r="A277" s="283"/>
      <c r="B277" s="323"/>
      <c r="C277" s="266"/>
      <c r="D277" s="265"/>
    </row>
    <row r="278" spans="1:5" x14ac:dyDescent="0.2">
      <c r="C278" s="315"/>
    </row>
    <row r="279" spans="1:5" x14ac:dyDescent="0.2">
      <c r="C279" s="315"/>
    </row>
    <row r="288" spans="1:5" x14ac:dyDescent="0.2">
      <c r="A288" s="314" t="s">
        <v>525</v>
      </c>
    </row>
  </sheetData>
  <mergeCells count="2">
    <mergeCell ref="B2:E2"/>
    <mergeCell ref="A1:E1"/>
  </mergeCells>
  <pageMargins left="0.23622047244094491" right="0.23622047244094491" top="0.74803149606299213" bottom="0.74803149606299213" header="0.31496062992125984" footer="0.31496062992125984"/>
  <pageSetup paperSize="9" scale="80" fitToHeight="0" orientation="portrait" horizontalDpi="360" verticalDpi="360" r:id="rId1"/>
  <headerFooter>
    <oddHeader>&amp;CPRESUPUESTO 2022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topLeftCell="A14" zoomScale="80" zoomScaleNormal="80" workbookViewId="0">
      <selection activeCell="S40" sqref="S40"/>
    </sheetView>
  </sheetViews>
  <sheetFormatPr baseColWidth="10" defaultColWidth="11.44140625" defaultRowHeight="13.8" x14ac:dyDescent="0.25"/>
  <cols>
    <col min="1" max="1" width="2.5546875" style="1" customWidth="1"/>
    <col min="2" max="2" width="33.33203125" style="1" customWidth="1"/>
    <col min="3" max="3" width="23.44140625" style="1" customWidth="1"/>
    <col min="4" max="4" width="13.88671875" style="4" customWidth="1"/>
    <col min="5" max="5" width="15.44140625" style="4" customWidth="1"/>
    <col min="6" max="6" width="15" style="4" customWidth="1"/>
    <col min="7" max="7" width="13.88671875" style="4" customWidth="1"/>
    <col min="8" max="9" width="13.6640625" style="4" customWidth="1"/>
    <col min="10" max="10" width="16.6640625" style="4" customWidth="1"/>
    <col min="11" max="11" width="0" style="11" hidden="1" customWidth="1"/>
    <col min="12" max="12" width="13.6640625" style="4" customWidth="1"/>
    <col min="13" max="13" width="0.33203125" style="4" customWidth="1"/>
    <col min="14" max="14" width="13.109375" style="4" customWidth="1"/>
    <col min="15" max="15" width="15" style="4" customWidth="1"/>
    <col min="16" max="16" width="0.33203125" style="4" customWidth="1"/>
    <col min="17" max="17" width="14.5546875" style="4" customWidth="1"/>
    <col min="18" max="18" width="16.5546875" style="4" customWidth="1"/>
    <col min="19" max="19" width="11.44140625" style="10"/>
    <col min="20" max="20" width="12" style="1" bestFit="1" customWidth="1"/>
    <col min="21" max="16384" width="11.44140625" style="1"/>
  </cols>
  <sheetData>
    <row r="1" spans="2:20" ht="21" x14ac:dyDescent="0.4">
      <c r="B1" s="76" t="s">
        <v>503</v>
      </c>
      <c r="C1" s="76"/>
    </row>
    <row r="2" spans="2:20" ht="21" hidden="1" x14ac:dyDescent="0.4">
      <c r="B2" s="76"/>
      <c r="C2" s="76"/>
    </row>
    <row r="3" spans="2:20" ht="21" hidden="1" x14ac:dyDescent="0.4">
      <c r="B3" s="76"/>
      <c r="C3" s="76"/>
      <c r="D3" s="93"/>
    </row>
    <row r="4" spans="2:20" ht="21" hidden="1" x14ac:dyDescent="0.4">
      <c r="B4" s="76"/>
      <c r="C4" s="76"/>
      <c r="F4" s="93"/>
    </row>
    <row r="5" spans="2:20" ht="21" x14ac:dyDescent="0.4">
      <c r="B5" s="76"/>
      <c r="C5" s="76"/>
    </row>
    <row r="6" spans="2:20" ht="14.4" thickBot="1" x14ac:dyDescent="0.3"/>
    <row r="7" spans="2:20" ht="76.5" customHeight="1" x14ac:dyDescent="0.25">
      <c r="B7" s="51"/>
      <c r="C7" s="50"/>
      <c r="D7" s="48" t="s">
        <v>30</v>
      </c>
      <c r="E7" s="48" t="s">
        <v>29</v>
      </c>
      <c r="F7" s="48" t="s">
        <v>28</v>
      </c>
      <c r="G7" s="48" t="s">
        <v>27</v>
      </c>
      <c r="H7" s="48" t="s">
        <v>26</v>
      </c>
      <c r="I7" s="48" t="s">
        <v>25</v>
      </c>
      <c r="J7" s="49" t="s">
        <v>24</v>
      </c>
      <c r="K7" s="44"/>
      <c r="L7" s="48" t="s">
        <v>281</v>
      </c>
      <c r="M7" s="48" t="s">
        <v>22</v>
      </c>
      <c r="N7" s="48" t="s">
        <v>21</v>
      </c>
      <c r="O7" s="48" t="s">
        <v>20</v>
      </c>
      <c r="P7" s="48" t="s">
        <v>19</v>
      </c>
      <c r="Q7" s="48" t="s">
        <v>38</v>
      </c>
      <c r="R7" s="48" t="s">
        <v>37</v>
      </c>
      <c r="S7" s="44"/>
    </row>
    <row r="8" spans="2:20" s="17" customFormat="1" ht="14.4" thickBot="1" x14ac:dyDescent="0.3">
      <c r="B8" s="47" t="s">
        <v>36</v>
      </c>
      <c r="C8" s="46"/>
      <c r="D8" s="100">
        <v>0.34065000000000001</v>
      </c>
      <c r="E8" s="43"/>
      <c r="F8" s="43"/>
      <c r="G8" s="43"/>
      <c r="H8" s="43"/>
      <c r="I8" s="98">
        <v>0.1115</v>
      </c>
      <c r="J8" s="45"/>
      <c r="K8" s="44"/>
      <c r="L8" s="43"/>
      <c r="M8" s="43"/>
      <c r="N8" s="43"/>
      <c r="O8" s="43"/>
      <c r="P8" s="43"/>
      <c r="Q8" s="43"/>
      <c r="R8" s="43"/>
      <c r="S8" s="44"/>
    </row>
    <row r="9" spans="2:20" ht="14.4" thickBot="1" x14ac:dyDescent="0.3">
      <c r="B9" s="42" t="s">
        <v>35</v>
      </c>
      <c r="C9" s="41" t="s">
        <v>34</v>
      </c>
      <c r="D9" s="38"/>
      <c r="E9" s="38"/>
      <c r="F9" s="38"/>
      <c r="G9" s="38"/>
      <c r="H9" s="38"/>
      <c r="I9" s="38"/>
      <c r="J9" s="40"/>
      <c r="K9" s="39"/>
      <c r="L9" s="38"/>
      <c r="M9" s="38"/>
      <c r="N9" s="38"/>
      <c r="O9" s="38"/>
      <c r="P9" s="38"/>
      <c r="Q9" s="38"/>
      <c r="R9" s="38"/>
      <c r="S9" s="63"/>
    </row>
    <row r="10" spans="2:20" x14ac:dyDescent="0.25">
      <c r="B10" s="37" t="s">
        <v>18</v>
      </c>
      <c r="C10" s="36" t="s">
        <v>17</v>
      </c>
      <c r="D10" s="73"/>
      <c r="E10" s="73">
        <v>12</v>
      </c>
      <c r="F10" s="73"/>
      <c r="G10" s="73">
        <v>200</v>
      </c>
      <c r="I10" s="73">
        <v>0.11650000000000001</v>
      </c>
      <c r="J10" s="75"/>
      <c r="K10" s="74"/>
      <c r="L10" s="73"/>
      <c r="M10" s="73"/>
      <c r="N10" s="33">
        <f>+D11*8.33%</f>
        <v>83.3</v>
      </c>
      <c r="O10" s="73"/>
      <c r="P10" s="72"/>
      <c r="Q10" s="72"/>
      <c r="R10" s="72"/>
      <c r="S10" s="34"/>
    </row>
    <row r="11" spans="2:20" x14ac:dyDescent="0.25">
      <c r="B11" s="59" t="s">
        <v>453</v>
      </c>
      <c r="C11" s="60" t="s">
        <v>174</v>
      </c>
      <c r="D11" s="20">
        <v>1000</v>
      </c>
      <c r="E11" s="20">
        <f t="shared" ref="E11:E16" si="0">+D11*12</f>
        <v>12000</v>
      </c>
      <c r="F11" s="20">
        <f t="shared" ref="F11:F16" si="1">+D11</f>
        <v>1000</v>
      </c>
      <c r="G11" s="20">
        <f>+$D$12</f>
        <v>425</v>
      </c>
      <c r="H11" s="33">
        <f>D11</f>
        <v>1000</v>
      </c>
      <c r="I11" s="20">
        <f>+(D11*$I$8)*12</f>
        <v>1338</v>
      </c>
      <c r="J11" s="57">
        <f>SUM(E11:I11)</f>
        <v>15763</v>
      </c>
      <c r="K11" s="56"/>
      <c r="L11" s="20">
        <f>+(D11/12)/30</f>
        <v>2.7777777777777777</v>
      </c>
      <c r="M11" s="20">
        <v>200</v>
      </c>
      <c r="N11" s="20">
        <f>+(D11/12)</f>
        <v>83.333333333333329</v>
      </c>
      <c r="O11" s="20">
        <f>+L11*16+(N11*7)</f>
        <v>627.77777777777771</v>
      </c>
      <c r="P11" s="20">
        <v>4000</v>
      </c>
      <c r="Q11" s="20"/>
      <c r="R11" s="20"/>
      <c r="S11" s="56">
        <f>1100/12</f>
        <v>91.666666666666671</v>
      </c>
      <c r="T11" s="1">
        <f>+S11/2</f>
        <v>45.833333333333336</v>
      </c>
    </row>
    <row r="12" spans="2:20" x14ac:dyDescent="0.25">
      <c r="B12" s="59" t="s">
        <v>454</v>
      </c>
      <c r="C12" s="59" t="s">
        <v>459</v>
      </c>
      <c r="D12" s="20">
        <v>425</v>
      </c>
      <c r="E12" s="20">
        <f t="shared" si="0"/>
        <v>5100</v>
      </c>
      <c r="F12" s="20">
        <f t="shared" si="1"/>
        <v>425</v>
      </c>
      <c r="G12" s="20">
        <f>+G11</f>
        <v>425</v>
      </c>
      <c r="H12" s="20">
        <f t="shared" ref="H12:H13" si="2">+D12</f>
        <v>425</v>
      </c>
      <c r="I12" s="20">
        <f t="shared" ref="I12:I16" si="3">+(D12*$I$8)*12</f>
        <v>568.65000000000009</v>
      </c>
      <c r="J12" s="57">
        <f t="shared" ref="J12:J16" si="4">SUM(E12:I12)</f>
        <v>6943.65</v>
      </c>
      <c r="K12" s="56"/>
      <c r="L12" s="20">
        <f t="shared" ref="L12:L16" si="5">+(D12/12)/30</f>
        <v>1.1805555555555556</v>
      </c>
      <c r="M12" s="20">
        <v>200</v>
      </c>
      <c r="N12" s="20">
        <v>400</v>
      </c>
      <c r="O12" s="20">
        <v>400</v>
      </c>
      <c r="P12" s="20">
        <f t="shared" ref="P12:P17" si="6">50*12</f>
        <v>600</v>
      </c>
      <c r="Q12" s="20"/>
      <c r="R12" s="20"/>
      <c r="S12" s="56">
        <f>+S11*7</f>
        <v>641.66666666666674</v>
      </c>
    </row>
    <row r="13" spans="2:20" x14ac:dyDescent="0.25">
      <c r="B13" s="59" t="s">
        <v>455</v>
      </c>
      <c r="C13" s="59" t="s">
        <v>175</v>
      </c>
      <c r="D13" s="20">
        <f>+D12</f>
        <v>425</v>
      </c>
      <c r="E13" s="20">
        <f t="shared" si="0"/>
        <v>5100</v>
      </c>
      <c r="F13" s="20">
        <f t="shared" si="1"/>
        <v>425</v>
      </c>
      <c r="G13" s="20">
        <f>+G12</f>
        <v>425</v>
      </c>
      <c r="H13" s="20">
        <f t="shared" si="2"/>
        <v>425</v>
      </c>
      <c r="I13" s="20">
        <f t="shared" si="3"/>
        <v>568.65000000000009</v>
      </c>
      <c r="J13" s="57">
        <f t="shared" si="4"/>
        <v>6943.65</v>
      </c>
      <c r="K13" s="56"/>
      <c r="L13" s="20">
        <f t="shared" si="5"/>
        <v>1.1805555555555556</v>
      </c>
      <c r="M13" s="20">
        <v>200</v>
      </c>
      <c r="N13" s="20">
        <v>400</v>
      </c>
      <c r="O13" s="20">
        <v>400</v>
      </c>
      <c r="P13" s="20">
        <f t="shared" si="6"/>
        <v>600</v>
      </c>
      <c r="Q13" s="20"/>
      <c r="R13" s="20"/>
      <c r="S13" s="56">
        <f>+S12+T11</f>
        <v>687.50000000000011</v>
      </c>
    </row>
    <row r="14" spans="2:20" x14ac:dyDescent="0.25">
      <c r="B14" s="59" t="s">
        <v>456</v>
      </c>
      <c r="C14" s="59" t="s">
        <v>176</v>
      </c>
      <c r="D14" s="20">
        <f>+D13</f>
        <v>425</v>
      </c>
      <c r="E14" s="20">
        <f t="shared" si="0"/>
        <v>5100</v>
      </c>
      <c r="F14" s="20">
        <f t="shared" si="1"/>
        <v>425</v>
      </c>
      <c r="G14" s="20">
        <f>+G13</f>
        <v>425</v>
      </c>
      <c r="H14" s="33">
        <f>D14</f>
        <v>425</v>
      </c>
      <c r="I14" s="20">
        <f t="shared" si="3"/>
        <v>568.65000000000009</v>
      </c>
      <c r="J14" s="57">
        <f t="shared" si="4"/>
        <v>6943.65</v>
      </c>
      <c r="K14" s="56"/>
      <c r="L14" s="20">
        <f t="shared" si="5"/>
        <v>1.1805555555555556</v>
      </c>
      <c r="M14" s="20">
        <v>200</v>
      </c>
      <c r="N14" s="20">
        <f t="shared" ref="N14:N15" si="7">+D14/12*7</f>
        <v>247.91666666666666</v>
      </c>
      <c r="O14" s="20">
        <f t="shared" ref="O14:O15" si="8">+L14*16+N14</f>
        <v>266.80555555555554</v>
      </c>
      <c r="P14" s="20">
        <f t="shared" si="6"/>
        <v>600</v>
      </c>
      <c r="Q14" s="20"/>
      <c r="R14" s="20"/>
      <c r="S14" s="56"/>
    </row>
    <row r="15" spans="2:20" x14ac:dyDescent="0.25">
      <c r="B15" s="59" t="s">
        <v>457</v>
      </c>
      <c r="C15" s="59" t="s">
        <v>460</v>
      </c>
      <c r="D15" s="20">
        <f>+D14</f>
        <v>425</v>
      </c>
      <c r="E15" s="20">
        <f t="shared" si="0"/>
        <v>5100</v>
      </c>
      <c r="F15" s="20">
        <f t="shared" si="1"/>
        <v>425</v>
      </c>
      <c r="G15" s="20">
        <f>+G14</f>
        <v>425</v>
      </c>
      <c r="H15" s="33">
        <f>D15</f>
        <v>425</v>
      </c>
      <c r="I15" s="20">
        <f t="shared" si="3"/>
        <v>568.65000000000009</v>
      </c>
      <c r="J15" s="57">
        <f t="shared" si="4"/>
        <v>6943.65</v>
      </c>
      <c r="K15" s="56"/>
      <c r="L15" s="20">
        <f t="shared" si="5"/>
        <v>1.1805555555555556</v>
      </c>
      <c r="M15" s="20">
        <v>200</v>
      </c>
      <c r="N15" s="20">
        <f t="shared" si="7"/>
        <v>247.91666666666666</v>
      </c>
      <c r="O15" s="20">
        <f t="shared" si="8"/>
        <v>266.80555555555554</v>
      </c>
      <c r="P15" s="20">
        <f t="shared" si="6"/>
        <v>600</v>
      </c>
      <c r="Q15" s="20"/>
      <c r="R15" s="20"/>
      <c r="S15" s="56"/>
    </row>
    <row r="16" spans="2:20" x14ac:dyDescent="0.25">
      <c r="B16" s="59" t="s">
        <v>458</v>
      </c>
      <c r="C16" s="59" t="s">
        <v>177</v>
      </c>
      <c r="D16" s="20">
        <v>600</v>
      </c>
      <c r="E16" s="20">
        <f t="shared" si="0"/>
        <v>7200</v>
      </c>
      <c r="F16" s="20">
        <f t="shared" si="1"/>
        <v>600</v>
      </c>
      <c r="G16" s="20">
        <f>+G15</f>
        <v>425</v>
      </c>
      <c r="H16" s="33">
        <f>D16</f>
        <v>600</v>
      </c>
      <c r="I16" s="20">
        <f t="shared" si="3"/>
        <v>802.80000000000007</v>
      </c>
      <c r="J16" s="57">
        <f t="shared" si="4"/>
        <v>9627.7999999999993</v>
      </c>
      <c r="K16" s="56"/>
      <c r="L16" s="20">
        <f t="shared" si="5"/>
        <v>1.6666666666666667</v>
      </c>
      <c r="M16" s="20">
        <v>200</v>
      </c>
      <c r="N16" s="20">
        <f>+D16/12*7</f>
        <v>350</v>
      </c>
      <c r="O16" s="20">
        <f>+L16*16+N16</f>
        <v>376.66666666666669</v>
      </c>
      <c r="P16" s="20">
        <f t="shared" si="6"/>
        <v>600</v>
      </c>
      <c r="Q16" s="20"/>
      <c r="R16" s="20"/>
      <c r="S16" s="56"/>
    </row>
    <row r="17" spans="2:19" ht="14.4" thickBot="1" x14ac:dyDescent="0.3">
      <c r="B17" s="59"/>
      <c r="C17" s="59"/>
      <c r="D17" s="20"/>
      <c r="E17" s="20"/>
      <c r="F17" s="20"/>
      <c r="G17" s="20"/>
      <c r="H17" s="20"/>
      <c r="I17" s="20"/>
      <c r="J17" s="57"/>
      <c r="K17" s="56"/>
      <c r="L17" s="20"/>
      <c r="M17" s="20"/>
      <c r="N17" s="20"/>
      <c r="O17" s="20"/>
      <c r="P17" s="20">
        <f t="shared" si="6"/>
        <v>600</v>
      </c>
      <c r="Q17" s="20"/>
      <c r="R17" s="20"/>
      <c r="S17" s="56"/>
    </row>
    <row r="18" spans="2:19" ht="14.4" thickBot="1" x14ac:dyDescent="0.3">
      <c r="B18" s="59"/>
      <c r="C18" s="31" t="s">
        <v>31</v>
      </c>
      <c r="D18" s="55">
        <f>SUM(D11:D17)</f>
        <v>3300</v>
      </c>
      <c r="E18" s="55">
        <f>SUM(E11:E16)</f>
        <v>39600</v>
      </c>
      <c r="F18" s="55">
        <f>SUM(F11:F17)</f>
        <v>3300</v>
      </c>
      <c r="G18" s="55">
        <f>SUM(G11:G17)</f>
        <v>2550</v>
      </c>
      <c r="H18" s="55">
        <f>SUM(H11:H16)</f>
        <v>3300</v>
      </c>
      <c r="I18" s="55">
        <f>SUM(I11:I17)</f>
        <v>4415.4000000000005</v>
      </c>
      <c r="J18" s="55">
        <f>SUM(J11:J17)</f>
        <v>53165.400000000009</v>
      </c>
      <c r="K18" s="29"/>
      <c r="L18" s="55">
        <f>SUM(L11:L17)</f>
        <v>9.1666666666666661</v>
      </c>
      <c r="M18" s="55">
        <f>SUM(M11:M17)</f>
        <v>1200</v>
      </c>
      <c r="N18" s="55">
        <f>SUM(N11:N17)</f>
        <v>1729.1666666666667</v>
      </c>
      <c r="O18" s="55">
        <f>SUM(O11:O17)</f>
        <v>2338.0555555555557</v>
      </c>
      <c r="P18" s="55">
        <f>SUM(P11:P17)</f>
        <v>7600</v>
      </c>
      <c r="Q18" s="55"/>
      <c r="R18" s="55"/>
      <c r="S18" s="53"/>
    </row>
    <row r="19" spans="2:19" ht="14.4" thickBot="1" x14ac:dyDescent="0.3">
      <c r="B19" s="42" t="s">
        <v>570</v>
      </c>
      <c r="C19" s="41"/>
      <c r="D19" s="38"/>
      <c r="E19" s="38"/>
      <c r="F19" s="38"/>
      <c r="G19" s="38"/>
      <c r="H19" s="38"/>
      <c r="I19" s="38"/>
      <c r="J19" s="40"/>
      <c r="K19" s="39"/>
      <c r="L19" s="38"/>
      <c r="M19" s="38"/>
      <c r="N19" s="38"/>
      <c r="O19" s="38"/>
      <c r="P19" s="38"/>
      <c r="Q19" s="38"/>
      <c r="R19" s="38"/>
      <c r="S19" s="63"/>
    </row>
    <row r="20" spans="2:19" x14ac:dyDescent="0.25">
      <c r="B20" s="37" t="s">
        <v>18</v>
      </c>
      <c r="C20" s="36" t="s">
        <v>17</v>
      </c>
      <c r="D20" s="33"/>
      <c r="E20" s="33"/>
      <c r="F20" s="33"/>
      <c r="G20" s="33"/>
      <c r="H20" s="33"/>
      <c r="I20" s="33"/>
      <c r="J20" s="35"/>
      <c r="K20" s="34"/>
      <c r="L20" s="33"/>
      <c r="M20" s="33"/>
      <c r="N20" s="33"/>
      <c r="O20" s="33"/>
      <c r="P20" s="33"/>
      <c r="Q20" s="33"/>
      <c r="R20" s="33"/>
      <c r="S20" s="34"/>
    </row>
    <row r="21" spans="2:19" x14ac:dyDescent="0.25">
      <c r="B21" s="59" t="s">
        <v>282</v>
      </c>
      <c r="C21" s="60" t="s">
        <v>282</v>
      </c>
      <c r="D21" s="20">
        <v>670</v>
      </c>
      <c r="E21" s="20">
        <f>D21*12</f>
        <v>8040</v>
      </c>
      <c r="F21" s="20">
        <f>(D21/12)*11</f>
        <v>614.16666666666674</v>
      </c>
      <c r="G21" s="20">
        <f>(400/12)*7</f>
        <v>233.33333333333334</v>
      </c>
      <c r="H21" s="20">
        <v>0</v>
      </c>
      <c r="I21" s="20">
        <f>+(D21*$I$8)*9</f>
        <v>672.34500000000003</v>
      </c>
      <c r="J21" s="57">
        <f>SUM(E21:I21)</f>
        <v>9559.8449999999993</v>
      </c>
      <c r="K21" s="56"/>
      <c r="L21" s="20"/>
      <c r="M21" s="20"/>
      <c r="N21" s="20"/>
      <c r="O21" s="20"/>
      <c r="P21" s="20"/>
      <c r="Q21" s="20"/>
      <c r="R21" s="20"/>
      <c r="S21" s="56"/>
    </row>
    <row r="22" spans="2:19" x14ac:dyDescent="0.25">
      <c r="B22" s="59"/>
      <c r="C22" s="60"/>
      <c r="D22" s="20"/>
      <c r="E22" s="20"/>
      <c r="F22" s="20"/>
      <c r="G22" s="20"/>
      <c r="H22" s="20"/>
      <c r="I22" s="20"/>
      <c r="J22" s="57"/>
      <c r="K22" s="56"/>
      <c r="L22" s="20"/>
      <c r="M22" s="20"/>
      <c r="N22" s="20"/>
      <c r="O22" s="20"/>
      <c r="P22" s="20"/>
      <c r="Q22" s="20"/>
      <c r="R22" s="20"/>
      <c r="S22" s="56"/>
    </row>
    <row r="23" spans="2:19" x14ac:dyDescent="0.25">
      <c r="B23" s="59"/>
      <c r="C23" s="60"/>
      <c r="D23" s="20"/>
      <c r="E23" s="20"/>
      <c r="F23" s="20"/>
      <c r="G23" s="20"/>
      <c r="H23" s="20"/>
      <c r="I23" s="20"/>
      <c r="J23" s="57"/>
      <c r="K23" s="56"/>
      <c r="L23" s="20"/>
      <c r="M23" s="20"/>
      <c r="N23" s="20"/>
      <c r="O23" s="20"/>
      <c r="P23" s="20"/>
      <c r="Q23" s="20"/>
      <c r="R23" s="20"/>
      <c r="S23" s="56"/>
    </row>
    <row r="24" spans="2:19" x14ac:dyDescent="0.25">
      <c r="B24" s="59"/>
      <c r="C24" s="60"/>
      <c r="D24" s="20"/>
      <c r="E24" s="20"/>
      <c r="F24" s="20"/>
      <c r="G24" s="20"/>
      <c r="H24" s="20"/>
      <c r="I24" s="20"/>
      <c r="J24" s="57"/>
      <c r="K24" s="56"/>
      <c r="L24" s="20"/>
      <c r="M24" s="20"/>
      <c r="N24" s="20"/>
      <c r="O24" s="20"/>
      <c r="P24" s="20"/>
      <c r="Q24" s="20"/>
      <c r="R24" s="20"/>
      <c r="S24" s="56"/>
    </row>
    <row r="25" spans="2:19" x14ac:dyDescent="0.25">
      <c r="B25" s="59"/>
      <c r="C25" s="60"/>
      <c r="D25" s="20"/>
      <c r="E25" s="20"/>
      <c r="F25" s="20"/>
      <c r="G25" s="20"/>
      <c r="H25" s="20"/>
      <c r="I25" s="20"/>
      <c r="J25" s="57"/>
      <c r="K25" s="56"/>
      <c r="L25" s="20"/>
      <c r="M25" s="20"/>
      <c r="N25" s="20"/>
      <c r="O25" s="20"/>
      <c r="P25" s="20"/>
      <c r="Q25" s="20"/>
      <c r="R25" s="20"/>
      <c r="S25" s="56"/>
    </row>
    <row r="26" spans="2:19" x14ac:dyDescent="0.25">
      <c r="B26" s="59"/>
      <c r="C26" s="60"/>
      <c r="D26" s="20"/>
      <c r="E26" s="20"/>
      <c r="F26" s="20"/>
      <c r="G26" s="20"/>
      <c r="H26" s="20"/>
      <c r="I26" s="20"/>
      <c r="J26" s="57"/>
      <c r="K26" s="56"/>
      <c r="L26" s="20"/>
      <c r="M26" s="20"/>
      <c r="N26" s="20"/>
      <c r="O26" s="20"/>
      <c r="P26" s="20"/>
      <c r="Q26" s="20"/>
      <c r="R26" s="20"/>
      <c r="S26" s="56"/>
    </row>
    <row r="27" spans="2:19" ht="14.4" thickBot="1" x14ac:dyDescent="0.3">
      <c r="B27" s="59"/>
      <c r="C27" s="60"/>
      <c r="D27" s="20"/>
      <c r="E27" s="20"/>
      <c r="F27" s="20"/>
      <c r="G27" s="20"/>
      <c r="H27" s="20"/>
      <c r="I27" s="20"/>
      <c r="J27" s="57"/>
      <c r="K27" s="56"/>
      <c r="L27" s="20"/>
      <c r="M27" s="20"/>
      <c r="N27" s="20"/>
      <c r="O27" s="20"/>
      <c r="P27" s="20"/>
      <c r="Q27" s="20"/>
      <c r="R27" s="20"/>
      <c r="S27" s="56"/>
    </row>
    <row r="28" spans="2:19" ht="14.4" thickBot="1" x14ac:dyDescent="0.3">
      <c r="B28" s="32"/>
      <c r="C28" s="31" t="s">
        <v>31</v>
      </c>
      <c r="D28" s="55">
        <f t="shared" ref="D28" si="9">SUM(D21:D27)</f>
        <v>670</v>
      </c>
      <c r="E28" s="55">
        <f>SUM(E21:E27)</f>
        <v>8040</v>
      </c>
      <c r="F28" s="55">
        <f>SUM(F21:F27)</f>
        <v>614.16666666666674</v>
      </c>
      <c r="G28" s="55">
        <f t="shared" ref="G28:J28" si="10">SUM(G21:G27)</f>
        <v>233.33333333333334</v>
      </c>
      <c r="H28" s="55">
        <f t="shared" si="10"/>
        <v>0</v>
      </c>
      <c r="I28" s="55">
        <f t="shared" si="10"/>
        <v>672.34500000000003</v>
      </c>
      <c r="J28" s="55">
        <f t="shared" si="10"/>
        <v>9559.8449999999993</v>
      </c>
      <c r="K28" s="29"/>
      <c r="L28" s="55">
        <f>SUM(L22:L27)</f>
        <v>0</v>
      </c>
      <c r="M28" s="55">
        <f>SUM(M21:M27)</f>
        <v>0</v>
      </c>
      <c r="N28" s="55">
        <f>SUM(N21:N27)</f>
        <v>0</v>
      </c>
      <c r="O28" s="55">
        <f>SUM(O21:O27)</f>
        <v>0</v>
      </c>
      <c r="P28" s="55">
        <f>SUM(P21:P27)</f>
        <v>0</v>
      </c>
      <c r="Q28" s="55"/>
      <c r="R28" s="55"/>
      <c r="S28" s="53"/>
    </row>
    <row r="29" spans="2:19" ht="14.4" thickBot="1" x14ac:dyDescent="0.3">
      <c r="B29" s="42" t="s">
        <v>33</v>
      </c>
      <c r="C29" s="41"/>
      <c r="D29" s="38"/>
      <c r="E29" s="38"/>
      <c r="F29" s="38"/>
      <c r="G29" s="38"/>
      <c r="H29" s="38"/>
      <c r="I29" s="38"/>
      <c r="J29" s="40"/>
      <c r="K29" s="39"/>
      <c r="L29" s="38"/>
      <c r="M29" s="38"/>
      <c r="N29" s="38"/>
      <c r="O29" s="38"/>
      <c r="P29" s="38"/>
      <c r="Q29" s="38"/>
      <c r="R29" s="38"/>
      <c r="S29" s="63"/>
    </row>
    <row r="30" spans="2:19" x14ac:dyDescent="0.25">
      <c r="B30" s="37" t="s">
        <v>18</v>
      </c>
      <c r="C30" s="36" t="s">
        <v>17</v>
      </c>
      <c r="D30" s="33"/>
      <c r="E30" s="33"/>
      <c r="F30" s="33"/>
      <c r="G30" s="33"/>
      <c r="H30" s="33"/>
      <c r="I30" s="33"/>
      <c r="J30" s="35"/>
      <c r="K30" s="34"/>
      <c r="L30" s="33"/>
      <c r="M30" s="33"/>
      <c r="N30" s="33"/>
      <c r="O30" s="33"/>
      <c r="P30" s="33"/>
      <c r="Q30" s="33"/>
      <c r="R30" s="33"/>
      <c r="S30" s="34"/>
    </row>
    <row r="31" spans="2:19" ht="14.4" thickBot="1" x14ac:dyDescent="0.3">
      <c r="B31" s="61"/>
      <c r="C31" s="60" t="s">
        <v>542</v>
      </c>
      <c r="D31" s="58">
        <v>817</v>
      </c>
      <c r="E31" s="20">
        <f>D31*12</f>
        <v>9804</v>
      </c>
      <c r="F31" s="20">
        <f>(817/12)*11+(817/365)*27</f>
        <v>809.35228310502282</v>
      </c>
      <c r="G31" s="20">
        <f>(400/12)*11+(400/365)*27</f>
        <v>396.25570776255711</v>
      </c>
      <c r="H31" s="20">
        <f>E31*8.33%</f>
        <v>816.67319999999995</v>
      </c>
      <c r="I31" s="20">
        <f>+(D31*$I$8)*12</f>
        <v>1093.146</v>
      </c>
      <c r="J31" s="57">
        <f>SUM(E31:I31)</f>
        <v>12919.42719086758</v>
      </c>
      <c r="K31" s="56"/>
      <c r="L31" s="58"/>
      <c r="M31" s="58"/>
      <c r="N31" s="58"/>
      <c r="O31" s="58"/>
      <c r="P31" s="20"/>
      <c r="Q31" s="58"/>
      <c r="R31" s="58"/>
      <c r="S31" s="56"/>
    </row>
    <row r="32" spans="2:19" ht="14.4" thickBot="1" x14ac:dyDescent="0.3">
      <c r="B32" s="71"/>
      <c r="C32" s="70" t="s">
        <v>31</v>
      </c>
      <c r="D32" s="54"/>
      <c r="E32" s="54">
        <f t="shared" ref="E32:I32" si="11">SUM(E31)</f>
        <v>9804</v>
      </c>
      <c r="F32" s="54">
        <f t="shared" si="11"/>
        <v>809.35228310502282</v>
      </c>
      <c r="G32" s="54">
        <f t="shared" si="11"/>
        <v>396.25570776255711</v>
      </c>
      <c r="H32" s="54">
        <f t="shared" si="11"/>
        <v>816.67319999999995</v>
      </c>
      <c r="I32" s="54">
        <f t="shared" si="11"/>
        <v>1093.146</v>
      </c>
      <c r="J32" s="30">
        <f>SUM(J31)</f>
        <v>12919.42719086758</v>
      </c>
      <c r="K32" s="69"/>
      <c r="L32" s="54"/>
      <c r="M32" s="54">
        <v>200</v>
      </c>
      <c r="N32" s="54">
        <f>+N31</f>
        <v>0</v>
      </c>
      <c r="O32" s="54">
        <f>+O31</f>
        <v>0</v>
      </c>
      <c r="P32" s="54">
        <f>+P31</f>
        <v>0</v>
      </c>
      <c r="Q32" s="54"/>
      <c r="R32" s="54"/>
      <c r="S32" s="53"/>
    </row>
    <row r="33" spans="2:19" ht="14.4" thickBot="1" x14ac:dyDescent="0.3">
      <c r="B33" s="52"/>
      <c r="C33" s="26" t="s">
        <v>16</v>
      </c>
      <c r="D33" s="23"/>
      <c r="E33" s="23">
        <f t="shared" ref="E33:J33" si="12">+E32+E28+E18</f>
        <v>57444</v>
      </c>
      <c r="F33" s="23">
        <f>+F32+F28+F18</f>
        <v>4723.5189497716892</v>
      </c>
      <c r="G33" s="23">
        <f t="shared" si="12"/>
        <v>3179.5890410958905</v>
      </c>
      <c r="H33" s="23">
        <f>+H32+H28+H18</f>
        <v>4116.6732000000002</v>
      </c>
      <c r="I33" s="23">
        <f t="shared" si="12"/>
        <v>6180.8910000000005</v>
      </c>
      <c r="J33" s="25">
        <f t="shared" si="12"/>
        <v>75644.672190867597</v>
      </c>
      <c r="K33" s="24"/>
      <c r="L33" s="25">
        <f>+L32+L28+L18</f>
        <v>9.1666666666666661</v>
      </c>
      <c r="M33" s="25">
        <f>+M32+M28+M18</f>
        <v>1400</v>
      </c>
      <c r="N33" s="25">
        <f>+N32+N28+N18</f>
        <v>1729.1666666666667</v>
      </c>
      <c r="O33" s="25">
        <f>+O32+O28+O18</f>
        <v>2338.0555555555557</v>
      </c>
      <c r="P33" s="25">
        <f>+P32+P28+P18</f>
        <v>7600</v>
      </c>
      <c r="Q33" s="23"/>
      <c r="R33" s="23"/>
      <c r="S33" s="19"/>
    </row>
    <row r="34" spans="2:19" s="64" customFormat="1" ht="14.4" thickBot="1" x14ac:dyDescent="0.3">
      <c r="B34" s="65"/>
      <c r="C34" s="65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2:19" s="17" customFormat="1" ht="73.5" customHeight="1" x14ac:dyDescent="0.25">
      <c r="B35" s="51"/>
      <c r="C35" s="50"/>
      <c r="D35" s="48"/>
      <c r="E35" s="48" t="s">
        <v>29</v>
      </c>
      <c r="F35" s="48" t="s">
        <v>28</v>
      </c>
      <c r="G35" s="48" t="s">
        <v>27</v>
      </c>
      <c r="H35" s="48" t="s">
        <v>26</v>
      </c>
      <c r="I35" s="48" t="s">
        <v>25</v>
      </c>
      <c r="J35" s="49" t="s">
        <v>24</v>
      </c>
      <c r="K35" s="44"/>
      <c r="L35" s="48" t="s">
        <v>23</v>
      </c>
      <c r="M35" s="48" t="s">
        <v>22</v>
      </c>
      <c r="N35" s="48" t="s">
        <v>21</v>
      </c>
      <c r="O35" s="48" t="s">
        <v>20</v>
      </c>
      <c r="P35" s="48" t="s">
        <v>19</v>
      </c>
      <c r="Q35" s="48"/>
      <c r="R35" s="48"/>
      <c r="S35" s="44"/>
    </row>
    <row r="36" spans="2:19" s="17" customFormat="1" ht="14.4" thickBot="1" x14ac:dyDescent="0.3">
      <c r="B36" s="47" t="s">
        <v>179</v>
      </c>
      <c r="C36" s="46"/>
      <c r="D36" s="43"/>
      <c r="E36" s="43"/>
      <c r="F36" s="43"/>
      <c r="G36" s="43"/>
      <c r="H36" s="43"/>
      <c r="I36" s="43"/>
      <c r="J36" s="45"/>
      <c r="K36" s="44"/>
      <c r="L36" s="43"/>
      <c r="M36" s="43"/>
      <c r="N36" s="43"/>
      <c r="O36" s="43"/>
      <c r="P36" s="43"/>
      <c r="Q36" s="43"/>
      <c r="R36" s="43"/>
      <c r="S36" s="44"/>
    </row>
    <row r="37" spans="2:19" ht="14.4" thickBot="1" x14ac:dyDescent="0.3">
      <c r="B37" s="42" t="s">
        <v>32</v>
      </c>
      <c r="C37" s="41"/>
      <c r="D37" s="38"/>
      <c r="E37" s="38"/>
      <c r="F37" s="38"/>
      <c r="G37" s="38"/>
      <c r="H37" s="38"/>
      <c r="I37" s="38"/>
      <c r="J37" s="40"/>
      <c r="K37" s="39"/>
      <c r="L37" s="38"/>
      <c r="M37" s="38"/>
      <c r="N37" s="38"/>
      <c r="O37" s="38"/>
      <c r="P37" s="38"/>
      <c r="Q37" s="38"/>
      <c r="R37" s="38"/>
      <c r="S37" s="63"/>
    </row>
    <row r="38" spans="2:19" x14ac:dyDescent="0.25">
      <c r="B38" s="37" t="s">
        <v>18</v>
      </c>
      <c r="C38" s="36" t="s">
        <v>17</v>
      </c>
      <c r="D38" s="33"/>
      <c r="E38" s="33"/>
      <c r="F38" s="33"/>
      <c r="G38" s="33"/>
      <c r="H38" s="33"/>
      <c r="I38" s="33"/>
      <c r="J38" s="35"/>
      <c r="K38" s="34"/>
      <c r="L38" s="33"/>
      <c r="M38" s="33"/>
      <c r="N38" s="33"/>
      <c r="O38" s="33"/>
      <c r="P38" s="33"/>
      <c r="Q38" s="33"/>
      <c r="R38" s="33"/>
      <c r="S38" s="34"/>
    </row>
    <row r="39" spans="2:19" x14ac:dyDescent="0.25">
      <c r="B39" s="59"/>
      <c r="C39" s="60" t="s">
        <v>340</v>
      </c>
      <c r="D39" s="20">
        <v>0</v>
      </c>
      <c r="E39" s="20">
        <f>D39*12</f>
        <v>0</v>
      </c>
      <c r="F39" s="20">
        <f>D39</f>
        <v>0</v>
      </c>
      <c r="G39" s="20">
        <v>375</v>
      </c>
      <c r="H39" s="20">
        <f>(D39/12)*8</f>
        <v>0</v>
      </c>
      <c r="I39" s="20">
        <f>E39*11.35%</f>
        <v>0</v>
      </c>
      <c r="J39" s="57">
        <f>E39+F39+G39+H39+I39</f>
        <v>375</v>
      </c>
      <c r="K39" s="56"/>
      <c r="L39" s="20"/>
      <c r="M39" s="20"/>
      <c r="N39" s="20"/>
      <c r="O39" s="20"/>
      <c r="P39" s="20"/>
      <c r="Q39" s="20"/>
      <c r="R39" s="20"/>
      <c r="S39" s="56"/>
    </row>
    <row r="40" spans="2:19" x14ac:dyDescent="0.25">
      <c r="B40" s="59"/>
      <c r="C40" s="82"/>
      <c r="D40" s="83"/>
      <c r="E40" s="20"/>
      <c r="F40" s="20"/>
      <c r="G40" s="20"/>
      <c r="H40" s="20"/>
      <c r="I40" s="20"/>
      <c r="J40" s="57"/>
      <c r="K40" s="56"/>
      <c r="L40" s="20"/>
      <c r="M40" s="20"/>
      <c r="N40" s="20"/>
      <c r="O40" s="20"/>
      <c r="P40" s="20"/>
      <c r="Q40" s="20"/>
      <c r="R40" s="20"/>
      <c r="S40" s="56"/>
    </row>
    <row r="41" spans="2:19" ht="14.4" thickBot="1" x14ac:dyDescent="0.3">
      <c r="B41" s="59"/>
      <c r="C41" s="60"/>
      <c r="D41" s="20"/>
      <c r="E41" s="20"/>
      <c r="F41" s="20"/>
      <c r="G41" s="20"/>
      <c r="H41" s="20"/>
      <c r="I41" s="20"/>
      <c r="J41" s="62"/>
      <c r="K41" s="56"/>
      <c r="L41" s="20"/>
      <c r="M41" s="20"/>
      <c r="N41" s="20"/>
      <c r="O41" s="20"/>
      <c r="P41" s="20"/>
      <c r="Q41" s="20"/>
      <c r="R41" s="20"/>
      <c r="S41" s="56"/>
    </row>
    <row r="42" spans="2:19" ht="14.4" thickBot="1" x14ac:dyDescent="0.3">
      <c r="B42" s="32"/>
      <c r="C42" s="31" t="s">
        <v>31</v>
      </c>
      <c r="D42" s="28"/>
      <c r="E42" s="28">
        <f t="shared" ref="E42:J42" si="13">SUM(E39:E40)</f>
        <v>0</v>
      </c>
      <c r="F42" s="28">
        <f t="shared" si="13"/>
        <v>0</v>
      </c>
      <c r="G42" s="28">
        <f t="shared" si="13"/>
        <v>375</v>
      </c>
      <c r="H42" s="28">
        <f t="shared" si="13"/>
        <v>0</v>
      </c>
      <c r="I42" s="28">
        <f t="shared" si="13"/>
        <v>0</v>
      </c>
      <c r="J42" s="28">
        <f t="shared" si="13"/>
        <v>375</v>
      </c>
      <c r="K42" s="29"/>
      <c r="L42" s="28">
        <f>SUM(L39:L39)</f>
        <v>0</v>
      </c>
      <c r="M42" s="28">
        <f>SUM(M39:M39)</f>
        <v>0</v>
      </c>
      <c r="N42" s="28">
        <f>SUM(N39:N39)</f>
        <v>0</v>
      </c>
      <c r="O42" s="28">
        <f>SUM(O39:O39)</f>
        <v>0</v>
      </c>
      <c r="P42" s="28">
        <f>SUM(P39:P40)</f>
        <v>0</v>
      </c>
      <c r="Q42" s="28"/>
      <c r="R42" s="28"/>
      <c r="S42" s="53"/>
    </row>
    <row r="43" spans="2:19" ht="14.4" thickBot="1" x14ac:dyDescent="0.3">
      <c r="B43" s="27"/>
      <c r="C43" s="26" t="s">
        <v>16</v>
      </c>
      <c r="D43" s="23"/>
      <c r="E43" s="23">
        <f t="shared" ref="E43:J43" si="14">+E42</f>
        <v>0</v>
      </c>
      <c r="F43" s="23">
        <f t="shared" si="14"/>
        <v>0</v>
      </c>
      <c r="G43" s="23">
        <f t="shared" si="14"/>
        <v>375</v>
      </c>
      <c r="H43" s="23">
        <f t="shared" si="14"/>
        <v>0</v>
      </c>
      <c r="I43" s="23">
        <f t="shared" si="14"/>
        <v>0</v>
      </c>
      <c r="J43" s="25">
        <f t="shared" si="14"/>
        <v>375</v>
      </c>
      <c r="K43" s="24"/>
      <c r="L43" s="23">
        <f>+L42</f>
        <v>0</v>
      </c>
      <c r="M43" s="23">
        <f>+M42</f>
        <v>0</v>
      </c>
      <c r="N43" s="23">
        <f>+N42</f>
        <v>0</v>
      </c>
      <c r="O43" s="23">
        <f>+O42</f>
        <v>0</v>
      </c>
      <c r="P43" s="23">
        <f>+P42</f>
        <v>0</v>
      </c>
      <c r="Q43" s="23"/>
      <c r="R43" s="23"/>
      <c r="S43" s="19"/>
    </row>
    <row r="44" spans="2:19" x14ac:dyDescent="0.25">
      <c r="B44" s="68"/>
      <c r="C44" s="68"/>
      <c r="D44" s="67"/>
      <c r="E44" s="67"/>
      <c r="F44" s="67"/>
      <c r="G44" s="67"/>
      <c r="H44" s="67"/>
      <c r="I44" s="67"/>
      <c r="J44" s="53"/>
      <c r="K44" s="53"/>
      <c r="L44" s="67"/>
      <c r="M44" s="67"/>
      <c r="N44" s="67"/>
      <c r="O44" s="67"/>
      <c r="P44" s="67"/>
      <c r="Q44" s="67"/>
      <c r="R44" s="67"/>
      <c r="S44" s="53"/>
    </row>
    <row r="45" spans="2:19" x14ac:dyDescent="0.25">
      <c r="B45" s="68"/>
      <c r="C45" s="68"/>
      <c r="D45" s="67"/>
      <c r="E45" s="67">
        <f>+D45*6</f>
        <v>0</v>
      </c>
      <c r="F45" s="67"/>
      <c r="G45" s="67"/>
      <c r="H45" s="67"/>
      <c r="I45" s="67"/>
      <c r="J45" s="53"/>
      <c r="K45" s="53"/>
      <c r="L45" s="67"/>
      <c r="M45" s="67"/>
      <c r="N45" s="67"/>
      <c r="O45" s="67"/>
      <c r="P45" s="67"/>
      <c r="Q45" s="67"/>
      <c r="R45" s="67"/>
      <c r="S45" s="53"/>
    </row>
    <row r="46" spans="2:19" s="64" customFormat="1" x14ac:dyDescent="0.25">
      <c r="B46" s="66"/>
      <c r="C46" s="65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</row>
    <row r="47" spans="2:19" s="17" customFormat="1" ht="21.75" customHeight="1" x14ac:dyDescent="0.25">
      <c r="B47" s="22"/>
      <c r="C47" s="21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8"/>
    </row>
    <row r="48" spans="2:19" s="17" customFormat="1" ht="17.399999999999999" x14ac:dyDescent="0.25">
      <c r="B48" s="22"/>
      <c r="C48" s="2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8"/>
    </row>
    <row r="49" spans="2:20" s="17" customFormat="1" ht="17.399999999999999" x14ac:dyDescent="0.25">
      <c r="B49" s="22"/>
      <c r="C49" s="21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8"/>
    </row>
    <row r="50" spans="2:20" ht="18" customHeight="1" thickBot="1" x14ac:dyDescent="0.3"/>
    <row r="51" spans="2:20" ht="23.4" thickBot="1" x14ac:dyDescent="0.45">
      <c r="B51" s="16" t="s">
        <v>180</v>
      </c>
      <c r="C51" s="13"/>
      <c r="D51" s="12"/>
      <c r="E51" s="12">
        <f t="shared" ref="E51:J51" si="15">E43+E33</f>
        <v>57444</v>
      </c>
      <c r="F51" s="12">
        <f t="shared" si="15"/>
        <v>4723.5189497716892</v>
      </c>
      <c r="G51" s="12">
        <f t="shared" si="15"/>
        <v>3554.5890410958905</v>
      </c>
      <c r="H51" s="12">
        <f t="shared" si="15"/>
        <v>4116.6732000000002</v>
      </c>
      <c r="I51" s="12">
        <f t="shared" si="15"/>
        <v>6180.8910000000005</v>
      </c>
      <c r="J51" s="12">
        <f t="shared" si="15"/>
        <v>76019.672190867597</v>
      </c>
      <c r="K51" s="12" t="e">
        <f>+#REF!+K43+K33+#REF!</f>
        <v>#REF!</v>
      </c>
      <c r="L51" s="12">
        <f>L43+L33</f>
        <v>9.1666666666666661</v>
      </c>
      <c r="M51" s="12" t="e">
        <f>+#REF!+M43+M33+#REF!</f>
        <v>#REF!</v>
      </c>
      <c r="N51" s="12">
        <f>N43+N33</f>
        <v>1729.1666666666667</v>
      </c>
      <c r="O51" s="12">
        <f>O43+O33</f>
        <v>2338.0555555555557</v>
      </c>
      <c r="P51" s="12" t="e">
        <f>+#REF!+P43+P33+#REF!</f>
        <v>#REF!</v>
      </c>
      <c r="Q51" s="12"/>
      <c r="R51" s="15"/>
      <c r="T51" s="4"/>
    </row>
    <row r="52" spans="2:20" x14ac:dyDescent="0.25">
      <c r="B52" s="2"/>
      <c r="C52" s="2"/>
      <c r="D52" s="9"/>
      <c r="E52" s="9"/>
      <c r="F52" s="9"/>
      <c r="G52" s="9"/>
      <c r="H52" s="9"/>
      <c r="I52" s="9"/>
      <c r="J52" s="9"/>
      <c r="K52" s="14"/>
      <c r="L52" s="9"/>
      <c r="M52" s="9"/>
      <c r="N52" s="9"/>
      <c r="O52" s="9"/>
      <c r="P52" s="9"/>
      <c r="Q52" s="9"/>
      <c r="R52" s="9"/>
      <c r="T52" s="4"/>
    </row>
    <row r="55" spans="2:20" x14ac:dyDescent="0.25">
      <c r="T55" s="4"/>
    </row>
    <row r="57" spans="2:20" x14ac:dyDescent="0.25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x14ac:dyDescent="0.2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360" r:id="rId1"/>
  <rowBreaks count="1" manualBreakCount="1">
    <brk id="43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9"/>
  <sheetViews>
    <sheetView topLeftCell="A19" zoomScale="140" zoomScaleNormal="140" workbookViewId="0">
      <selection activeCell="C43" sqref="C43"/>
    </sheetView>
  </sheetViews>
  <sheetFormatPr baseColWidth="10" defaultRowHeight="14.4" x14ac:dyDescent="0.3"/>
  <cols>
    <col min="2" max="2" width="43.33203125" customWidth="1"/>
    <col min="3" max="3" width="18.88671875" style="177" bestFit="1" customWidth="1"/>
    <col min="5" max="5" width="24.88671875" customWidth="1"/>
  </cols>
  <sheetData>
    <row r="2" spans="2:5" x14ac:dyDescent="0.3">
      <c r="B2" s="105" t="s">
        <v>202</v>
      </c>
      <c r="C2" s="178">
        <f>+INGRESOS!O56</f>
        <v>0</v>
      </c>
      <c r="D2" s="459" t="s">
        <v>192</v>
      </c>
      <c r="E2" s="459"/>
    </row>
    <row r="3" spans="2:5" x14ac:dyDescent="0.3">
      <c r="B3" s="106" t="s">
        <v>203</v>
      </c>
      <c r="C3" s="177">
        <f>+(INGRESOS!O25+INGRESOS!O35)</f>
        <v>0</v>
      </c>
      <c r="D3" s="107"/>
      <c r="E3" s="107"/>
    </row>
    <row r="4" spans="2:5" x14ac:dyDescent="0.3">
      <c r="B4" s="106" t="s">
        <v>204</v>
      </c>
      <c r="C4" s="177">
        <f>+INGRESOS!O26</f>
        <v>0</v>
      </c>
      <c r="D4" s="107"/>
      <c r="E4" s="149">
        <f>+C2-INGRESOS!O56</f>
        <v>0</v>
      </c>
    </row>
    <row r="5" spans="2:5" x14ac:dyDescent="0.3">
      <c r="B5" s="106" t="s">
        <v>205</v>
      </c>
      <c r="D5" s="107"/>
      <c r="E5" s="107"/>
    </row>
    <row r="6" spans="2:5" x14ac:dyDescent="0.3">
      <c r="B6" s="106" t="s">
        <v>237</v>
      </c>
      <c r="C6" s="177">
        <f>+INGRESOS!O33</f>
        <v>0</v>
      </c>
      <c r="D6" s="107"/>
      <c r="E6" s="107"/>
    </row>
    <row r="7" spans="2:5" x14ac:dyDescent="0.3">
      <c r="B7" s="106" t="s">
        <v>384</v>
      </c>
      <c r="C7" s="177">
        <f>+INGRESOS!O39</f>
        <v>0</v>
      </c>
      <c r="D7" s="107"/>
      <c r="E7" s="107"/>
    </row>
    <row r="8" spans="2:5" x14ac:dyDescent="0.3">
      <c r="B8" s="106" t="s">
        <v>302</v>
      </c>
      <c r="C8" s="177">
        <f>+INGRESOS!O48</f>
        <v>0</v>
      </c>
      <c r="D8" s="147"/>
      <c r="E8" s="147"/>
    </row>
    <row r="9" spans="2:5" x14ac:dyDescent="0.3">
      <c r="B9" t="s">
        <v>206</v>
      </c>
      <c r="C9" s="178">
        <f>+INGRESOS!O43</f>
        <v>0</v>
      </c>
    </row>
    <row r="10" spans="2:5" x14ac:dyDescent="0.3">
      <c r="B10" s="105" t="s">
        <v>192</v>
      </c>
    </row>
    <row r="11" spans="2:5" x14ac:dyDescent="0.3">
      <c r="B11" s="153" t="s">
        <v>394</v>
      </c>
      <c r="C11" s="174" t="s">
        <v>125</v>
      </c>
      <c r="D11" s="99">
        <f>+INGRESOS!J6-C49</f>
        <v>1714.0060000000085</v>
      </c>
    </row>
    <row r="12" spans="2:5" ht="15.6" x14ac:dyDescent="0.3">
      <c r="B12" s="108" t="s">
        <v>207</v>
      </c>
      <c r="C12" s="349">
        <f>+DISTRIBUTIVO!E11</f>
        <v>12000</v>
      </c>
    </row>
    <row r="13" spans="2:5" ht="15.6" x14ac:dyDescent="0.3">
      <c r="B13" s="108" t="s">
        <v>208</v>
      </c>
      <c r="C13" s="349">
        <f>+DISTRIBUTIVO!E16</f>
        <v>7200</v>
      </c>
    </row>
    <row r="14" spans="2:5" ht="15.6" x14ac:dyDescent="0.3">
      <c r="B14" s="108" t="s">
        <v>209</v>
      </c>
      <c r="C14" s="349">
        <f>+DISTRIBUTIVO!E12+DISTRIBUTIVO!E13+DISTRIBUTIVO!E14+DISTRIBUTIVO!E15</f>
        <v>20400</v>
      </c>
    </row>
    <row r="15" spans="2:5" ht="15.6" x14ac:dyDescent="0.3">
      <c r="B15" s="108" t="s">
        <v>210</v>
      </c>
      <c r="C15" s="349">
        <f>+DISTRIBUTIVO!F11</f>
        <v>1000</v>
      </c>
    </row>
    <row r="16" spans="2:5" ht="15.6" x14ac:dyDescent="0.3">
      <c r="B16" s="108" t="s">
        <v>211</v>
      </c>
      <c r="C16" s="349">
        <f>+DISTRIBUTIVO!G11</f>
        <v>425</v>
      </c>
    </row>
    <row r="17" spans="2:5" ht="15.6" x14ac:dyDescent="0.3">
      <c r="B17" s="108" t="s">
        <v>212</v>
      </c>
      <c r="C17" s="349">
        <f>+DISTRIBUTIVO!F16</f>
        <v>600</v>
      </c>
    </row>
    <row r="18" spans="2:5" ht="15.6" x14ac:dyDescent="0.3">
      <c r="B18" s="108" t="s">
        <v>213</v>
      </c>
      <c r="C18" s="349">
        <f>+DISTRIBUTIVO!G16</f>
        <v>425</v>
      </c>
    </row>
    <row r="19" spans="2:5" ht="15.6" x14ac:dyDescent="0.3">
      <c r="B19" s="108" t="s">
        <v>214</v>
      </c>
      <c r="C19" s="349">
        <f>+DISTRIBUTIVO!F12+DISTRIBUTIVO!F13+DISTRIBUTIVO!F14+DISTRIBUTIVO!F15</f>
        <v>1700</v>
      </c>
    </row>
    <row r="20" spans="2:5" ht="15.6" x14ac:dyDescent="0.3">
      <c r="B20" s="108" t="s">
        <v>285</v>
      </c>
      <c r="C20" s="349">
        <f>+DISTRIBUTIVO!G12+DISTRIBUTIVO!G13+ DISTRIBUTIVO!G14+DISTRIBUTIVO!G15</f>
        <v>1700</v>
      </c>
    </row>
    <row r="21" spans="2:5" ht="15.6" x14ac:dyDescent="0.3">
      <c r="B21" s="108" t="s">
        <v>215</v>
      </c>
      <c r="C21" s="349">
        <f>+DISTRIBUTIVO!H11</f>
        <v>1000</v>
      </c>
    </row>
    <row r="22" spans="2:5" ht="15.6" x14ac:dyDescent="0.3">
      <c r="B22" s="108" t="s">
        <v>216</v>
      </c>
      <c r="C22" s="349">
        <f>+DISTRIBUTIVO!H16</f>
        <v>600</v>
      </c>
    </row>
    <row r="23" spans="2:5" ht="15.6" x14ac:dyDescent="0.3">
      <c r="B23" s="108" t="s">
        <v>217</v>
      </c>
      <c r="C23" s="349">
        <f>+DISTRIBUTIVO!H12+DISTRIBUTIVO!H13+DISTRIBUTIVO!H14+DISTRIBUTIVO!H15</f>
        <v>1700</v>
      </c>
    </row>
    <row r="24" spans="2:5" ht="15.6" x14ac:dyDescent="0.3">
      <c r="B24" s="108" t="s">
        <v>218</v>
      </c>
      <c r="C24" s="349">
        <f>+DISTRIBUTIVO!I11</f>
        <v>1338</v>
      </c>
    </row>
    <row r="25" spans="2:5" ht="15.6" x14ac:dyDescent="0.3">
      <c r="B25" s="108" t="s">
        <v>219</v>
      </c>
      <c r="C25" s="349">
        <f>+DISTRIBUTIVO!I16</f>
        <v>802.80000000000007</v>
      </c>
    </row>
    <row r="26" spans="2:5" ht="15.6" x14ac:dyDescent="0.3">
      <c r="B26" s="108" t="s">
        <v>220</v>
      </c>
      <c r="C26" s="349">
        <f>+DISTRIBUTIVO!I12+DISTRIBUTIVO!I13+DISTRIBUTIVO!I14+DISTRIBUTIVO!I15</f>
        <v>2274.6000000000004</v>
      </c>
    </row>
    <row r="27" spans="2:5" ht="15.6" x14ac:dyDescent="0.3">
      <c r="B27" s="108" t="s">
        <v>284</v>
      </c>
      <c r="C27" s="349"/>
    </row>
    <row r="28" spans="2:5" ht="15.6" x14ac:dyDescent="0.3">
      <c r="B28" s="108" t="s">
        <v>365</v>
      </c>
      <c r="C28" s="349">
        <v>2450</v>
      </c>
    </row>
    <row r="29" spans="2:5" ht="15.6" x14ac:dyDescent="0.3">
      <c r="B29" s="108" t="s">
        <v>6</v>
      </c>
      <c r="C29" s="350">
        <v>125</v>
      </c>
    </row>
    <row r="30" spans="2:5" ht="15.6" x14ac:dyDescent="0.3">
      <c r="B30" s="351" t="s">
        <v>221</v>
      </c>
      <c r="C30" s="350">
        <v>400</v>
      </c>
    </row>
    <row r="31" spans="2:5" ht="15.6" x14ac:dyDescent="0.3">
      <c r="B31" s="351" t="s">
        <v>222</v>
      </c>
      <c r="C31" s="350">
        <v>500</v>
      </c>
    </row>
    <row r="32" spans="2:5" ht="15.6" x14ac:dyDescent="0.3">
      <c r="B32" s="351" t="s">
        <v>323</v>
      </c>
      <c r="C32" s="350">
        <v>500</v>
      </c>
      <c r="E32" s="99"/>
    </row>
    <row r="33" spans="2:3" ht="15.6" x14ac:dyDescent="0.3">
      <c r="B33" s="351" t="s">
        <v>182</v>
      </c>
      <c r="C33" s="350">
        <v>201.6</v>
      </c>
    </row>
    <row r="34" spans="2:3" ht="15.6" x14ac:dyDescent="0.3">
      <c r="B34" s="351" t="s">
        <v>319</v>
      </c>
      <c r="C34" s="350">
        <v>504</v>
      </c>
    </row>
    <row r="35" spans="2:3" ht="15.6" x14ac:dyDescent="0.3">
      <c r="B35" s="351" t="s">
        <v>223</v>
      </c>
      <c r="C35" s="350"/>
    </row>
    <row r="36" spans="2:3" ht="15.6" x14ac:dyDescent="0.3">
      <c r="B36" s="351" t="s">
        <v>238</v>
      </c>
      <c r="C36" s="350">
        <v>200</v>
      </c>
    </row>
    <row r="37" spans="2:3" ht="15.6" x14ac:dyDescent="0.3">
      <c r="B37" s="351" t="s">
        <v>224</v>
      </c>
      <c r="C37" s="350"/>
    </row>
    <row r="38" spans="2:3" ht="15.6" x14ac:dyDescent="0.3">
      <c r="B38" s="351" t="s">
        <v>225</v>
      </c>
      <c r="C38" s="350">
        <v>350</v>
      </c>
    </row>
    <row r="39" spans="2:3" ht="15.6" x14ac:dyDescent="0.3">
      <c r="B39" s="351" t="s">
        <v>226</v>
      </c>
      <c r="C39" s="350">
        <v>300</v>
      </c>
    </row>
    <row r="40" spans="2:3" ht="15.6" x14ac:dyDescent="0.3">
      <c r="B40" s="351" t="s">
        <v>385</v>
      </c>
      <c r="C40" s="350">
        <v>201.6</v>
      </c>
    </row>
    <row r="41" spans="2:3" ht="15.6" x14ac:dyDescent="0.3">
      <c r="B41" s="351" t="s">
        <v>227</v>
      </c>
      <c r="C41" s="350">
        <v>80</v>
      </c>
    </row>
    <row r="42" spans="2:3" ht="15.6" x14ac:dyDescent="0.3">
      <c r="B42" s="351" t="s">
        <v>387</v>
      </c>
      <c r="C42" s="350">
        <v>300</v>
      </c>
    </row>
    <row r="43" spans="2:3" ht="15.6" x14ac:dyDescent="0.3">
      <c r="B43" s="351" t="s">
        <v>228</v>
      </c>
      <c r="C43" s="350">
        <v>1552.99</v>
      </c>
    </row>
    <row r="44" spans="2:3" ht="15.6" x14ac:dyDescent="0.3">
      <c r="B44" s="351" t="s">
        <v>229</v>
      </c>
      <c r="C44" s="350">
        <f>+(INGRESOS!J35+INGRESOS!J25)*0.005</f>
        <v>777.25199999999995</v>
      </c>
    </row>
    <row r="45" spans="2:3" ht="15.6" x14ac:dyDescent="0.3">
      <c r="B45" s="351" t="s">
        <v>315</v>
      </c>
      <c r="C45" s="350">
        <f>+(INGRESOS!J35+INGRESOS!J25)*3%</f>
        <v>4663.5119999999997</v>
      </c>
    </row>
    <row r="46" spans="2:3" ht="15.6" x14ac:dyDescent="0.3">
      <c r="B46" s="351" t="s">
        <v>230</v>
      </c>
      <c r="C46" s="350">
        <v>300</v>
      </c>
    </row>
    <row r="47" spans="2:3" ht="15.6" x14ac:dyDescent="0.3">
      <c r="B47" s="351"/>
      <c r="C47" s="352"/>
    </row>
    <row r="48" spans="2:3" x14ac:dyDescent="0.3">
      <c r="B48" s="152"/>
      <c r="C48" s="175"/>
    </row>
    <row r="49" spans="2:5" ht="15.6" x14ac:dyDescent="0.3">
      <c r="B49" s="198" t="s">
        <v>239</v>
      </c>
      <c r="C49" s="199">
        <f>SUM(C12:C48)</f>
        <v>66571.353999999992</v>
      </c>
      <c r="D49" s="109">
        <f>+GASTOS!E5-PARTICIPATIVO!C49</f>
        <v>-1587.5539999999892</v>
      </c>
    </row>
    <row r="50" spans="2:5" ht="15.6" x14ac:dyDescent="0.3">
      <c r="B50" s="198" t="s">
        <v>240</v>
      </c>
      <c r="C50" s="199">
        <f>+INGRESOS!J6-C49</f>
        <v>1714.0060000000085</v>
      </c>
      <c r="D50" s="109"/>
      <c r="E50" s="110"/>
    </row>
    <row r="51" spans="2:5" ht="15.6" x14ac:dyDescent="0.3">
      <c r="B51" s="198" t="s">
        <v>231</v>
      </c>
      <c r="C51" s="199">
        <f>+INGRESOS!J49-PARTICIPATIVO!C49</f>
        <v>342756.89600000001</v>
      </c>
    </row>
    <row r="52" spans="2:5" ht="15.6" x14ac:dyDescent="0.3">
      <c r="B52" s="198"/>
      <c r="C52" s="199"/>
    </row>
    <row r="53" spans="2:5" ht="15.6" x14ac:dyDescent="0.3">
      <c r="B53" s="198" t="s">
        <v>395</v>
      </c>
      <c r="C53" s="199"/>
    </row>
    <row r="54" spans="2:5" ht="15.6" x14ac:dyDescent="0.3">
      <c r="B54" s="198" t="s">
        <v>390</v>
      </c>
      <c r="C54" s="199"/>
    </row>
    <row r="55" spans="2:5" x14ac:dyDescent="0.3">
      <c r="B55" s="152" t="s">
        <v>476</v>
      </c>
      <c r="C55" s="357">
        <v>58671.81</v>
      </c>
    </row>
    <row r="56" spans="2:5" x14ac:dyDescent="0.3">
      <c r="B56" s="153" t="s">
        <v>391</v>
      </c>
      <c r="C56" s="174">
        <f>+C55</f>
        <v>58671.81</v>
      </c>
    </row>
    <row r="57" spans="2:5" x14ac:dyDescent="0.3">
      <c r="B57" s="153"/>
      <c r="C57" s="174"/>
    </row>
    <row r="58" spans="2:5" x14ac:dyDescent="0.3">
      <c r="B58" s="153" t="s">
        <v>392</v>
      </c>
      <c r="C58" s="174"/>
    </row>
    <row r="59" spans="2:5" ht="43.2" x14ac:dyDescent="0.3">
      <c r="B59" s="360" t="s">
        <v>493</v>
      </c>
      <c r="C59" s="358">
        <v>8615</v>
      </c>
    </row>
    <row r="60" spans="2:5" ht="15.6" x14ac:dyDescent="0.3">
      <c r="B60" s="351" t="s">
        <v>386</v>
      </c>
      <c r="C60" s="350">
        <v>1100</v>
      </c>
      <c r="D60" s="353"/>
      <c r="E60" s="179"/>
    </row>
    <row r="61" spans="2:5" ht="15.6" x14ac:dyDescent="0.3">
      <c r="B61" s="351" t="s">
        <v>388</v>
      </c>
      <c r="C61" s="350">
        <v>400</v>
      </c>
      <c r="D61" s="353"/>
      <c r="E61" s="179"/>
    </row>
    <row r="62" spans="2:5" ht="43.2" x14ac:dyDescent="0.3">
      <c r="B62" s="360" t="s">
        <v>462</v>
      </c>
      <c r="C62" s="358">
        <v>9500</v>
      </c>
    </row>
    <row r="63" spans="2:5" ht="28.8" x14ac:dyDescent="0.3">
      <c r="B63" s="360" t="s">
        <v>407</v>
      </c>
      <c r="C63" s="358">
        <v>25554.93</v>
      </c>
    </row>
    <row r="64" spans="2:5" ht="28.8" x14ac:dyDescent="0.3">
      <c r="B64" s="354" t="s">
        <v>408</v>
      </c>
      <c r="C64" s="358">
        <f>SUM(C65:C73)</f>
        <v>91419.26999999999</v>
      </c>
      <c r="E64" s="359"/>
    </row>
    <row r="65" spans="2:5" x14ac:dyDescent="0.3">
      <c r="B65" s="152" t="s">
        <v>463</v>
      </c>
      <c r="C65" s="175">
        <v>7000</v>
      </c>
      <c r="D65" t="s">
        <v>498</v>
      </c>
    </row>
    <row r="66" spans="2:5" x14ac:dyDescent="0.3">
      <c r="B66" s="355" t="s">
        <v>464</v>
      </c>
      <c r="C66" s="175">
        <v>5000</v>
      </c>
      <c r="D66" t="s">
        <v>499</v>
      </c>
    </row>
    <row r="67" spans="2:5" x14ac:dyDescent="0.3">
      <c r="B67" s="355" t="s">
        <v>478</v>
      </c>
      <c r="C67" s="175">
        <v>4000</v>
      </c>
    </row>
    <row r="68" spans="2:5" x14ac:dyDescent="0.3">
      <c r="B68" s="152" t="s">
        <v>467</v>
      </c>
      <c r="C68" s="175">
        <v>8000</v>
      </c>
      <c r="D68" t="s">
        <v>500</v>
      </c>
    </row>
    <row r="69" spans="2:5" x14ac:dyDescent="0.3">
      <c r="B69" s="152" t="s">
        <v>468</v>
      </c>
      <c r="C69" s="175">
        <v>7000</v>
      </c>
      <c r="D69" t="s">
        <v>501</v>
      </c>
    </row>
    <row r="70" spans="2:5" x14ac:dyDescent="0.3">
      <c r="B70" s="355" t="s">
        <v>479</v>
      </c>
      <c r="C70" s="175">
        <v>7840</v>
      </c>
    </row>
    <row r="71" spans="2:5" x14ac:dyDescent="0.3">
      <c r="B71" s="355" t="s">
        <v>480</v>
      </c>
      <c r="C71" s="175">
        <v>3754.27</v>
      </c>
      <c r="E71" s="347"/>
    </row>
    <row r="72" spans="2:5" ht="15.6" x14ac:dyDescent="0.3">
      <c r="B72" s="351" t="s">
        <v>461</v>
      </c>
      <c r="C72" s="352">
        <v>825</v>
      </c>
    </row>
    <row r="73" spans="2:5" x14ac:dyDescent="0.3">
      <c r="B73" s="355" t="s">
        <v>477</v>
      </c>
      <c r="C73" s="175">
        <v>48000</v>
      </c>
    </row>
    <row r="74" spans="2:5" ht="28.8" x14ac:dyDescent="0.3">
      <c r="B74" s="360" t="s">
        <v>353</v>
      </c>
      <c r="C74" s="358">
        <v>10000</v>
      </c>
    </row>
    <row r="75" spans="2:5" ht="28.8" x14ac:dyDescent="0.3">
      <c r="B75" s="360" t="s">
        <v>409</v>
      </c>
      <c r="C75" s="358">
        <v>9000</v>
      </c>
    </row>
    <row r="76" spans="2:5" ht="28.8" x14ac:dyDescent="0.3">
      <c r="B76" s="361" t="s">
        <v>492</v>
      </c>
      <c r="C76" s="358">
        <v>6000</v>
      </c>
    </row>
    <row r="77" spans="2:5" ht="43.2" x14ac:dyDescent="0.3">
      <c r="B77" s="360" t="s">
        <v>410</v>
      </c>
      <c r="C77" s="358">
        <f>+DISTRIBUTIVO!J21</f>
        <v>9559.8449999999993</v>
      </c>
    </row>
    <row r="78" spans="2:5" x14ac:dyDescent="0.3">
      <c r="B78" s="360" t="s">
        <v>465</v>
      </c>
      <c r="C78" s="174"/>
    </row>
    <row r="79" spans="2:5" x14ac:dyDescent="0.3">
      <c r="B79" s="360" t="s">
        <v>466</v>
      </c>
      <c r="C79" s="358">
        <v>9000</v>
      </c>
    </row>
    <row r="80" spans="2:5" x14ac:dyDescent="0.3">
      <c r="B80" s="194" t="s">
        <v>393</v>
      </c>
      <c r="C80" s="195">
        <f>SUM(C59:C79)-(C64+C60+C61)</f>
        <v>178649.04499999995</v>
      </c>
    </row>
    <row r="81" spans="2:9" x14ac:dyDescent="0.3">
      <c r="B81" s="196" t="s">
        <v>389</v>
      </c>
      <c r="C81" s="193">
        <f>+C80+C56</f>
        <v>237320.85499999995</v>
      </c>
      <c r="D81" s="145"/>
      <c r="E81" s="109"/>
    </row>
    <row r="82" spans="2:9" s="105" customFormat="1" x14ac:dyDescent="0.3">
      <c r="B82" s="194" t="s">
        <v>396</v>
      </c>
      <c r="C82" s="197">
        <f>+C81+C49</f>
        <v>303892.20899999992</v>
      </c>
      <c r="D82" s="148"/>
      <c r="E82" s="151"/>
    </row>
    <row r="83" spans="2:9" x14ac:dyDescent="0.3">
      <c r="B83" s="150"/>
      <c r="C83" s="180"/>
      <c r="D83" s="145"/>
      <c r="E83" s="99"/>
    </row>
    <row r="84" spans="2:9" x14ac:dyDescent="0.3">
      <c r="B84" s="150"/>
      <c r="C84" s="180"/>
      <c r="D84" s="356">
        <f>+INGRESOS!J49-PARTICIPATIVO!C82</f>
        <v>105436.04100000008</v>
      </c>
      <c r="E84" s="105"/>
    </row>
    <row r="85" spans="2:9" x14ac:dyDescent="0.3">
      <c r="B85" s="106"/>
      <c r="D85" s="105"/>
      <c r="E85" s="105"/>
    </row>
    <row r="86" spans="2:9" x14ac:dyDescent="0.3">
      <c r="B86" s="106"/>
      <c r="D86" s="105"/>
      <c r="E86" s="105"/>
    </row>
    <row r="87" spans="2:9" x14ac:dyDescent="0.3">
      <c r="B87" s="112" t="s">
        <v>241</v>
      </c>
      <c r="E87" s="112" t="s">
        <v>242</v>
      </c>
      <c r="F87" s="112" t="s">
        <v>243</v>
      </c>
      <c r="G87" s="112" t="s">
        <v>16</v>
      </c>
      <c r="H87" s="112" t="s">
        <v>244</v>
      </c>
    </row>
    <row r="88" spans="2:9" x14ac:dyDescent="0.3">
      <c r="B88" s="129" t="s">
        <v>232</v>
      </c>
      <c r="C88" s="181"/>
      <c r="D88" s="129"/>
      <c r="E88" s="129">
        <f>140*4</f>
        <v>560</v>
      </c>
      <c r="F88" s="129">
        <f>230*4</f>
        <v>920</v>
      </c>
      <c r="G88" s="129">
        <f>+F88+E88</f>
        <v>1480</v>
      </c>
      <c r="H88" s="130">
        <f>F88/G88</f>
        <v>0.6216216216216216</v>
      </c>
    </row>
    <row r="89" spans="2:9" x14ac:dyDescent="0.3">
      <c r="B89" s="132" t="s">
        <v>233</v>
      </c>
      <c r="C89" s="182"/>
      <c r="D89" s="132"/>
      <c r="E89" s="132">
        <v>560</v>
      </c>
      <c r="F89" s="132">
        <f>125*4</f>
        <v>500</v>
      </c>
      <c r="G89" s="132">
        <f>+F89+E89</f>
        <v>1060</v>
      </c>
      <c r="H89" s="133">
        <f>+F89/G89</f>
        <v>0.47169811320754718</v>
      </c>
    </row>
    <row r="90" spans="2:9" ht="27.6" x14ac:dyDescent="0.3">
      <c r="B90" s="134" t="s">
        <v>250</v>
      </c>
      <c r="C90" s="183" t="s">
        <v>251</v>
      </c>
      <c r="D90" s="134" t="s">
        <v>252</v>
      </c>
      <c r="E90" s="132"/>
      <c r="F90" s="133"/>
      <c r="G90" s="132"/>
      <c r="H90" s="132"/>
    </row>
    <row r="91" spans="2:9" ht="27.6" x14ac:dyDescent="0.3">
      <c r="B91" s="142" t="s">
        <v>272</v>
      </c>
      <c r="C91" s="184" t="s">
        <v>277</v>
      </c>
      <c r="D91" s="135"/>
      <c r="E91" s="132">
        <v>56</v>
      </c>
      <c r="F91" s="132">
        <v>120</v>
      </c>
      <c r="G91" s="132">
        <f>+F91+E91</f>
        <v>176</v>
      </c>
      <c r="H91" s="133">
        <f>+F91/G91</f>
        <v>0.68181818181818177</v>
      </c>
      <c r="I91" t="e">
        <f>+$C$133*H91</f>
        <v>#REF!</v>
      </c>
    </row>
    <row r="92" spans="2:9" ht="69" x14ac:dyDescent="0.3">
      <c r="B92" s="463" t="s">
        <v>253</v>
      </c>
      <c r="C92" s="184" t="s">
        <v>254</v>
      </c>
      <c r="D92" s="135" t="s">
        <v>278</v>
      </c>
      <c r="E92" s="132">
        <v>102</v>
      </c>
      <c r="F92" s="132">
        <v>40</v>
      </c>
      <c r="G92" s="132">
        <f>+F92+E92</f>
        <v>142</v>
      </c>
      <c r="H92" s="133">
        <f>+F92/G92</f>
        <v>0.28169014084507044</v>
      </c>
      <c r="I92" t="e">
        <f>+$C$133*H92</f>
        <v>#REF!</v>
      </c>
    </row>
    <row r="93" spans="2:9" ht="69" x14ac:dyDescent="0.3">
      <c r="B93" s="463"/>
      <c r="C93" s="464" t="s">
        <v>255</v>
      </c>
      <c r="D93" s="135" t="s">
        <v>279</v>
      </c>
      <c r="E93" s="132">
        <v>40</v>
      </c>
      <c r="F93" s="132">
        <v>10</v>
      </c>
      <c r="G93" s="132">
        <f>+F93+E93</f>
        <v>50</v>
      </c>
      <c r="H93" s="133">
        <f>+F93/G93</f>
        <v>0.2</v>
      </c>
      <c r="I93" t="e">
        <f>+$C$133*H93</f>
        <v>#REF!</v>
      </c>
    </row>
    <row r="94" spans="2:9" ht="41.4" x14ac:dyDescent="0.3">
      <c r="B94" s="463"/>
      <c r="C94" s="464"/>
      <c r="D94" s="135" t="s">
        <v>256</v>
      </c>
      <c r="E94" s="132">
        <v>560</v>
      </c>
      <c r="F94" s="132">
        <v>60</v>
      </c>
      <c r="G94" s="132">
        <f>+F94+E94</f>
        <v>620</v>
      </c>
      <c r="H94" s="133">
        <f>+F94/G94</f>
        <v>9.6774193548387094E-2</v>
      </c>
      <c r="I94" t="e">
        <f>+$C$133*H94</f>
        <v>#REF!</v>
      </c>
    </row>
    <row r="95" spans="2:9" ht="41.4" hidden="1" x14ac:dyDescent="0.3">
      <c r="B95" s="463" t="s">
        <v>257</v>
      </c>
      <c r="C95" s="464" t="s">
        <v>258</v>
      </c>
      <c r="D95" s="135" t="s">
        <v>259</v>
      </c>
      <c r="E95" s="132"/>
      <c r="F95" s="133"/>
      <c r="G95" s="132"/>
      <c r="H95" s="132"/>
    </row>
    <row r="96" spans="2:9" ht="27.6" hidden="1" x14ac:dyDescent="0.3">
      <c r="B96" s="463"/>
      <c r="C96" s="464"/>
      <c r="D96" s="135" t="s">
        <v>260</v>
      </c>
      <c r="E96" s="132"/>
      <c r="F96" s="133"/>
      <c r="G96" s="132"/>
      <c r="H96" s="132"/>
    </row>
    <row r="97" spans="2:9" hidden="1" x14ac:dyDescent="0.3">
      <c r="B97" s="463"/>
      <c r="C97" s="464"/>
      <c r="D97" s="135" t="s">
        <v>261</v>
      </c>
      <c r="E97" s="132"/>
      <c r="F97" s="133"/>
      <c r="G97" s="132"/>
      <c r="H97" s="132"/>
    </row>
    <row r="98" spans="2:9" ht="27.6" x14ac:dyDescent="0.3">
      <c r="B98" s="460" t="s">
        <v>273</v>
      </c>
      <c r="C98" s="184"/>
      <c r="D98" s="135" t="s">
        <v>275</v>
      </c>
      <c r="E98" s="132"/>
      <c r="F98" s="133"/>
      <c r="G98" s="132"/>
      <c r="H98" s="132"/>
    </row>
    <row r="99" spans="2:9" x14ac:dyDescent="0.3">
      <c r="B99" s="461"/>
      <c r="C99" s="184"/>
      <c r="D99" s="135" t="s">
        <v>274</v>
      </c>
      <c r="E99" s="132"/>
      <c r="F99" s="132"/>
      <c r="G99" s="132"/>
      <c r="H99" s="133"/>
    </row>
    <row r="100" spans="2:9" x14ac:dyDescent="0.3">
      <c r="B100" s="461"/>
      <c r="C100" s="184"/>
      <c r="D100" s="143" t="s">
        <v>276</v>
      </c>
      <c r="E100" s="132"/>
      <c r="F100" s="132"/>
      <c r="G100" s="132"/>
      <c r="H100" s="133"/>
    </row>
    <row r="101" spans="2:9" ht="82.8" x14ac:dyDescent="0.3">
      <c r="B101" s="462"/>
      <c r="C101" s="184"/>
      <c r="D101" s="135" t="s">
        <v>280</v>
      </c>
      <c r="E101" s="132">
        <v>15</v>
      </c>
      <c r="F101" s="132">
        <v>80</v>
      </c>
      <c r="G101" s="132">
        <f>+F101+E101</f>
        <v>95</v>
      </c>
      <c r="H101" s="133">
        <f>+F101/G101</f>
        <v>0.84210526315789469</v>
      </c>
      <c r="I101" t="e">
        <f>+$C$133*H101</f>
        <v>#REF!</v>
      </c>
    </row>
    <row r="102" spans="2:9" x14ac:dyDescent="0.3">
      <c r="B102" s="136" t="s">
        <v>245</v>
      </c>
      <c r="C102" s="185"/>
      <c r="D102" s="136"/>
      <c r="E102" s="136">
        <v>360</v>
      </c>
      <c r="F102" s="136">
        <f>+F88*65%</f>
        <v>598</v>
      </c>
      <c r="G102" s="136">
        <f>+F102+E102</f>
        <v>958</v>
      </c>
      <c r="H102" s="137">
        <f>+E102/G102</f>
        <v>0.37578288100208768</v>
      </c>
    </row>
    <row r="103" spans="2:9" ht="28.8" x14ac:dyDescent="0.3">
      <c r="B103" s="131" t="s">
        <v>266</v>
      </c>
      <c r="C103" s="185"/>
      <c r="D103" s="136"/>
      <c r="E103" s="136"/>
      <c r="F103" s="137"/>
      <c r="G103" s="136"/>
      <c r="H103" s="136"/>
    </row>
    <row r="104" spans="2:9" x14ac:dyDescent="0.3">
      <c r="B104" s="131" t="s">
        <v>267</v>
      </c>
      <c r="C104" s="185"/>
      <c r="D104" s="136"/>
      <c r="E104" s="136"/>
      <c r="F104" s="137"/>
      <c r="G104" s="136"/>
      <c r="H104" s="136"/>
    </row>
    <row r="105" spans="2:9" x14ac:dyDescent="0.3">
      <c r="B105" s="131" t="s">
        <v>268</v>
      </c>
      <c r="C105" s="185"/>
      <c r="D105" s="136"/>
      <c r="E105" s="136"/>
      <c r="F105" s="137"/>
      <c r="G105" s="136"/>
      <c r="H105" s="136"/>
    </row>
    <row r="106" spans="2:9" ht="28.8" x14ac:dyDescent="0.3">
      <c r="B106" s="131" t="s">
        <v>269</v>
      </c>
      <c r="C106" s="185"/>
      <c r="D106" s="136"/>
      <c r="E106" s="136"/>
      <c r="F106" s="137"/>
      <c r="G106" s="136"/>
      <c r="H106" s="136"/>
    </row>
    <row r="107" spans="2:9" ht="28.8" x14ac:dyDescent="0.3">
      <c r="B107" s="131" t="s">
        <v>270</v>
      </c>
      <c r="C107" s="185"/>
      <c r="D107" s="136"/>
      <c r="E107" s="136"/>
      <c r="F107" s="137"/>
      <c r="G107" s="136"/>
      <c r="H107" s="136"/>
    </row>
    <row r="108" spans="2:9" x14ac:dyDescent="0.3">
      <c r="B108" s="131" t="s">
        <v>271</v>
      </c>
      <c r="C108" s="185"/>
      <c r="D108" s="136"/>
      <c r="E108" s="136"/>
      <c r="F108" s="137"/>
      <c r="G108" s="136"/>
      <c r="H108" s="136"/>
    </row>
    <row r="109" spans="2:9" x14ac:dyDescent="0.3">
      <c r="B109" s="113" t="s">
        <v>234</v>
      </c>
      <c r="C109" s="186"/>
      <c r="D109" s="113"/>
      <c r="E109" s="113">
        <v>59</v>
      </c>
      <c r="F109" s="113">
        <v>236</v>
      </c>
      <c r="G109" s="113">
        <f>+F109+E109</f>
        <v>295</v>
      </c>
      <c r="H109" s="114">
        <f>+F109/G109</f>
        <v>0.8</v>
      </c>
    </row>
    <row r="110" spans="2:9" ht="75" x14ac:dyDescent="0.3">
      <c r="B110" s="140" t="s">
        <v>262</v>
      </c>
      <c r="C110" s="186"/>
      <c r="D110" s="113"/>
      <c r="E110" s="113"/>
      <c r="F110" s="146"/>
      <c r="G110" s="113"/>
      <c r="H110" s="113"/>
    </row>
    <row r="111" spans="2:9" ht="30" x14ac:dyDescent="0.3">
      <c r="B111" s="140" t="s">
        <v>263</v>
      </c>
      <c r="C111" s="186"/>
      <c r="D111" s="113"/>
      <c r="E111" s="113"/>
      <c r="F111" s="114"/>
      <c r="G111" s="113"/>
      <c r="H111" s="113"/>
    </row>
    <row r="112" spans="2:9" ht="45" x14ac:dyDescent="0.3">
      <c r="B112" s="140" t="s">
        <v>264</v>
      </c>
      <c r="C112" s="186"/>
      <c r="D112" s="113"/>
      <c r="E112" s="113"/>
      <c r="F112" s="114"/>
      <c r="G112" s="113"/>
      <c r="H112" s="113"/>
    </row>
    <row r="113" spans="2:16" ht="45" x14ac:dyDescent="0.3">
      <c r="B113" s="140" t="s">
        <v>265</v>
      </c>
      <c r="C113" s="186"/>
      <c r="D113" s="113"/>
      <c r="E113" s="113"/>
      <c r="F113" s="114"/>
      <c r="G113" s="113"/>
      <c r="H113" s="113"/>
    </row>
    <row r="114" spans="2:16" x14ac:dyDescent="0.3">
      <c r="B114" s="113"/>
      <c r="C114" s="186"/>
      <c r="D114" s="113"/>
      <c r="E114" s="113"/>
      <c r="F114" s="114"/>
      <c r="G114" s="113"/>
      <c r="H114" s="113"/>
    </row>
    <row r="115" spans="2:16" x14ac:dyDescent="0.3">
      <c r="B115" s="138" t="s">
        <v>283</v>
      </c>
      <c r="C115" s="187"/>
      <c r="D115" s="138"/>
      <c r="E115" s="138"/>
      <c r="F115" s="138"/>
      <c r="G115" s="138">
        <f>+D115+C115</f>
        <v>0</v>
      </c>
      <c r="H115" s="139">
        <v>0.5</v>
      </c>
    </row>
    <row r="116" spans="2:16" x14ac:dyDescent="0.3">
      <c r="C116" s="177" t="s">
        <v>235</v>
      </c>
      <c r="E116" t="s">
        <v>236</v>
      </c>
      <c r="F116" s="110"/>
    </row>
    <row r="117" spans="2:16" x14ac:dyDescent="0.3">
      <c r="B117" s="115" t="s">
        <v>246</v>
      </c>
      <c r="C117" s="188" t="e">
        <f>+#REF!</f>
        <v>#REF!</v>
      </c>
      <c r="D117" s="116">
        <v>1</v>
      </c>
      <c r="E117" s="115">
        <v>20000</v>
      </c>
    </row>
    <row r="118" spans="2:16" x14ac:dyDescent="0.3">
      <c r="B118" s="115" t="s">
        <v>232</v>
      </c>
      <c r="C118" s="189" t="e">
        <f>+C117*D118</f>
        <v>#REF!</v>
      </c>
      <c r="D118" s="116">
        <v>0.4</v>
      </c>
      <c r="E118" s="115">
        <v>0</v>
      </c>
    </row>
    <row r="119" spans="2:16" x14ac:dyDescent="0.3">
      <c r="B119" s="115" t="s">
        <v>233</v>
      </c>
      <c r="C119" s="189" t="e">
        <f>+C117*D119</f>
        <v>#REF!</v>
      </c>
      <c r="D119" s="116">
        <v>0.3</v>
      </c>
      <c r="E119" s="115">
        <v>0</v>
      </c>
    </row>
    <row r="120" spans="2:16" x14ac:dyDescent="0.3">
      <c r="B120" s="115" t="s">
        <v>247</v>
      </c>
      <c r="C120" s="189" t="e">
        <f>+C117*D120</f>
        <v>#REF!</v>
      </c>
      <c r="D120" s="116">
        <v>0.1</v>
      </c>
      <c r="E120" s="115">
        <v>0</v>
      </c>
    </row>
    <row r="121" spans="2:16" x14ac:dyDescent="0.3">
      <c r="B121" s="115" t="s">
        <v>234</v>
      </c>
      <c r="C121" s="189" t="e">
        <f>+C117*D121</f>
        <v>#REF!</v>
      </c>
      <c r="D121" s="116">
        <v>0.15</v>
      </c>
      <c r="E121" s="115">
        <v>0</v>
      </c>
    </row>
    <row r="122" spans="2:16" x14ac:dyDescent="0.3">
      <c r="B122" s="115" t="s">
        <v>248</v>
      </c>
      <c r="C122" s="189" t="e">
        <f>+C117*D122</f>
        <v>#REF!</v>
      </c>
      <c r="D122" s="116">
        <v>0.05</v>
      </c>
      <c r="E122" s="115">
        <v>0</v>
      </c>
    </row>
    <row r="123" spans="2:16" x14ac:dyDescent="0.3">
      <c r="C123" s="177" t="e">
        <f>SUM(C118:C122)</f>
        <v>#REF!</v>
      </c>
      <c r="E123">
        <f>SUM(E118:E122)</f>
        <v>0</v>
      </c>
    </row>
    <row r="124" spans="2:16" x14ac:dyDescent="0.3">
      <c r="C124" s="190" t="s">
        <v>249</v>
      </c>
      <c r="D124" s="141"/>
      <c r="E124" s="141"/>
      <c r="F124" s="458"/>
      <c r="G124" s="458"/>
      <c r="H124" s="458"/>
      <c r="I124" s="458"/>
      <c r="J124" s="458"/>
      <c r="K124" s="125"/>
      <c r="L124" s="125"/>
      <c r="M124" s="125"/>
      <c r="N124" s="125"/>
      <c r="O124" s="125"/>
      <c r="P124" s="125"/>
    </row>
    <row r="125" spans="2:16" x14ac:dyDescent="0.3">
      <c r="B125" s="117" t="s">
        <v>246</v>
      </c>
      <c r="C125" s="191" t="s">
        <v>16</v>
      </c>
      <c r="D125" s="117" t="s">
        <v>242</v>
      </c>
      <c r="E125" s="117" t="s">
        <v>243</v>
      </c>
      <c r="F125" s="126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</row>
    <row r="126" spans="2:16" x14ac:dyDescent="0.3">
      <c r="B126" s="118" t="s">
        <v>232</v>
      </c>
      <c r="C126" s="192" t="e">
        <f>+C118</f>
        <v>#REF!</v>
      </c>
      <c r="D126" s="119" t="e">
        <f>+C126-E126</f>
        <v>#REF!</v>
      </c>
      <c r="E126" s="119" t="e">
        <f>+C126*H88</f>
        <v>#REF!</v>
      </c>
      <c r="F126" s="125"/>
      <c r="G126" s="111"/>
      <c r="H126" s="111"/>
      <c r="I126" s="111"/>
      <c r="J126" s="111"/>
      <c r="K126" s="125"/>
      <c r="L126" s="125"/>
      <c r="M126" s="125"/>
      <c r="N126" s="125"/>
      <c r="O126" s="125"/>
      <c r="P126" s="125"/>
    </row>
    <row r="127" spans="2:16" x14ac:dyDescent="0.3">
      <c r="B127" s="118" t="s">
        <v>233</v>
      </c>
      <c r="C127" s="192" t="e">
        <f>+C119</f>
        <v>#REF!</v>
      </c>
      <c r="D127" s="119" t="e">
        <f>+C127-E127</f>
        <v>#REF!</v>
      </c>
      <c r="E127" s="119" t="e">
        <f>+I91+I92+I93+I94+I101</f>
        <v>#REF!</v>
      </c>
      <c r="F127" s="125"/>
      <c r="G127" s="111"/>
      <c r="H127" s="111"/>
      <c r="I127" s="111"/>
      <c r="J127" s="111"/>
      <c r="K127" s="125"/>
      <c r="L127" s="125"/>
      <c r="M127" s="125"/>
      <c r="N127" s="125"/>
      <c r="O127" s="125"/>
      <c r="P127" s="125"/>
    </row>
    <row r="128" spans="2:16" s="121" customFormat="1" x14ac:dyDescent="0.3">
      <c r="B128" s="118" t="s">
        <v>247</v>
      </c>
      <c r="C128" s="192" t="e">
        <f>+C120</f>
        <v>#REF!</v>
      </c>
      <c r="D128" s="119" t="e">
        <f>+C128-E128</f>
        <v>#REF!</v>
      </c>
      <c r="E128" s="119" t="e">
        <f>+C128*H102</f>
        <v>#REF!</v>
      </c>
      <c r="F128" s="125"/>
      <c r="G128" s="111"/>
      <c r="H128" s="111"/>
      <c r="I128" s="111"/>
      <c r="J128" s="111"/>
      <c r="K128" s="127"/>
      <c r="L128" s="127"/>
      <c r="M128" s="127"/>
      <c r="N128" s="127"/>
      <c r="O128" s="127"/>
      <c r="P128" s="127"/>
    </row>
    <row r="129" spans="1:16" s="121" customFormat="1" x14ac:dyDescent="0.3">
      <c r="B129" s="118" t="s">
        <v>234</v>
      </c>
      <c r="C129" s="192" t="e">
        <f>+C121</f>
        <v>#REF!</v>
      </c>
      <c r="D129" s="119" t="e">
        <f>+C129-E129</f>
        <v>#REF!</v>
      </c>
      <c r="E129" s="119" t="e">
        <f>+C129*H109</f>
        <v>#REF!</v>
      </c>
      <c r="F129" s="125"/>
      <c r="G129" s="111"/>
      <c r="H129" s="111"/>
      <c r="I129" s="111"/>
      <c r="J129" s="111"/>
      <c r="K129" s="128"/>
      <c r="L129" s="128"/>
      <c r="M129" s="128"/>
      <c r="N129" s="128"/>
      <c r="O129" s="128"/>
      <c r="P129" s="128"/>
    </row>
    <row r="130" spans="1:16" s="121" customFormat="1" x14ac:dyDescent="0.3">
      <c r="B130" s="118" t="s">
        <v>248</v>
      </c>
      <c r="C130" s="192" t="e">
        <f>+C122</f>
        <v>#REF!</v>
      </c>
      <c r="D130" s="119" t="e">
        <f>+C130-E130</f>
        <v>#REF!</v>
      </c>
      <c r="E130" s="119" t="e">
        <f>+C130*H115</f>
        <v>#REF!</v>
      </c>
      <c r="F130" s="125"/>
      <c r="G130" s="111"/>
      <c r="H130" s="111"/>
      <c r="I130" s="111"/>
      <c r="J130" s="111"/>
      <c r="K130" s="125"/>
      <c r="L130" s="125"/>
      <c r="M130" s="125"/>
      <c r="N130" s="125"/>
      <c r="O130" s="125"/>
      <c r="P130" s="127"/>
    </row>
    <row r="131" spans="1:16" s="121" customFormat="1" x14ac:dyDescent="0.3">
      <c r="B131" s="117" t="s">
        <v>16</v>
      </c>
      <c r="C131" s="191" t="e">
        <f>SUM(C126:C130)</f>
        <v>#REF!</v>
      </c>
      <c r="D131" s="120" t="e">
        <f>SUM(D126:D130)</f>
        <v>#REF!</v>
      </c>
      <c r="E131" s="120" t="e">
        <f>SUM(E126:E130)</f>
        <v>#REF!</v>
      </c>
      <c r="F131" s="125"/>
      <c r="G131" s="125"/>
      <c r="H131" s="125"/>
      <c r="I131" s="111"/>
      <c r="J131" s="111"/>
      <c r="K131" s="128"/>
      <c r="L131" s="128"/>
      <c r="M131" s="128"/>
      <c r="N131" s="128"/>
      <c r="O131" s="128"/>
      <c r="P131" s="128"/>
    </row>
    <row r="132" spans="1:16" s="121" customFormat="1" x14ac:dyDescent="0.3">
      <c r="C132" s="176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3"/>
    </row>
    <row r="133" spans="1:16" s="121" customFormat="1" x14ac:dyDescent="0.3">
      <c r="C133" s="176" t="e">
        <f>+C127/5</f>
        <v>#REF!</v>
      </c>
      <c r="E133" s="144"/>
      <c r="F133" s="124"/>
    </row>
    <row r="134" spans="1:16" x14ac:dyDescent="0.3">
      <c r="A134" s="121"/>
    </row>
    <row r="136" spans="1:16" x14ac:dyDescent="0.3">
      <c r="B136" t="s">
        <v>295</v>
      </c>
    </row>
    <row r="137" spans="1:16" x14ac:dyDescent="0.3">
      <c r="B137">
        <v>3000</v>
      </c>
      <c r="C137" s="177" t="s">
        <v>296</v>
      </c>
    </row>
    <row r="138" spans="1:16" x14ac:dyDescent="0.3">
      <c r="B138" s="99" t="e">
        <f>+D131-B137</f>
        <v>#REF!</v>
      </c>
      <c r="C138" s="177" t="s">
        <v>297</v>
      </c>
    </row>
    <row r="139" spans="1:16" x14ac:dyDescent="0.3">
      <c r="B139" t="s">
        <v>298</v>
      </c>
    </row>
  </sheetData>
  <mergeCells count="8">
    <mergeCell ref="F124:H124"/>
    <mergeCell ref="I124:J124"/>
    <mergeCell ref="D2:E2"/>
    <mergeCell ref="B98:B101"/>
    <mergeCell ref="B92:B94"/>
    <mergeCell ref="C93:C94"/>
    <mergeCell ref="B95:B97"/>
    <mergeCell ref="C95:C97"/>
  </mergeCells>
  <pageMargins left="0.7" right="0.7" top="0.75" bottom="0.75" header="0.3" footer="0.3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2"/>
  <sheetViews>
    <sheetView topLeftCell="B1" workbookViewId="0">
      <selection activeCell="C9" sqref="C9"/>
    </sheetView>
  </sheetViews>
  <sheetFormatPr baseColWidth="10" defaultRowHeight="20.25" customHeight="1" x14ac:dyDescent="0.3"/>
  <cols>
    <col min="2" max="2" width="41.5546875" customWidth="1"/>
    <col min="3" max="3" width="21.6640625" customWidth="1"/>
    <col min="4" max="4" width="13.88671875" style="177" bestFit="1" customWidth="1"/>
  </cols>
  <sheetData>
    <row r="1" spans="2:6" ht="20.25" customHeight="1" x14ac:dyDescent="0.3">
      <c r="E1" t="s">
        <v>486</v>
      </c>
      <c r="F1">
        <f>+PARTICIPATIVO!F57</f>
        <v>0</v>
      </c>
    </row>
    <row r="2" spans="2:6" ht="20.25" customHeight="1" x14ac:dyDescent="0.3">
      <c r="B2" t="s">
        <v>239</v>
      </c>
      <c r="C2">
        <f>+PARTICIPATIVO!C49</f>
        <v>66571.353999999992</v>
      </c>
      <c r="D2" s="177">
        <v>0</v>
      </c>
    </row>
    <row r="3" spans="2:6" ht="20.25" customHeight="1" x14ac:dyDescent="0.3">
      <c r="B3" t="s">
        <v>476</v>
      </c>
      <c r="C3">
        <f>+PARTICIPATIVO!C55</f>
        <v>58671.81</v>
      </c>
    </row>
    <row r="4" spans="2:6" ht="20.25" customHeight="1" x14ac:dyDescent="0.3">
      <c r="B4" t="s">
        <v>392</v>
      </c>
    </row>
    <row r="5" spans="2:6" ht="20.25" customHeight="1" x14ac:dyDescent="0.3">
      <c r="B5" t="s">
        <v>406</v>
      </c>
      <c r="C5">
        <f>+PARTICIPATIVO!C59</f>
        <v>8615</v>
      </c>
    </row>
    <row r="6" spans="2:6" ht="20.25" customHeight="1" x14ac:dyDescent="0.3">
      <c r="B6" t="s">
        <v>462</v>
      </c>
      <c r="C6">
        <f>+PARTICIPATIVO!C62</f>
        <v>9500</v>
      </c>
    </row>
    <row r="7" spans="2:6" ht="20.25" customHeight="1" x14ac:dyDescent="0.3">
      <c r="B7" t="s">
        <v>487</v>
      </c>
      <c r="C7">
        <f>+PARTICIPATIVO!C64</f>
        <v>91419.26999999999</v>
      </c>
    </row>
    <row r="8" spans="2:6" ht="20.25" customHeight="1" x14ac:dyDescent="0.3">
      <c r="B8" t="s">
        <v>476</v>
      </c>
      <c r="C8">
        <f>+PARTICIPATIVO!C55</f>
        <v>58671.81</v>
      </c>
      <c r="E8">
        <v>0</v>
      </c>
    </row>
    <row r="9" spans="2:6" ht="20.25" customHeight="1" x14ac:dyDescent="0.3">
      <c r="B9" t="s">
        <v>486</v>
      </c>
      <c r="C9">
        <f>+PARTICIPATIVO!C63</f>
        <v>25554.93</v>
      </c>
    </row>
    <row r="10" spans="2:6" ht="20.25" customHeight="1" x14ac:dyDescent="0.3">
      <c r="B10" t="s">
        <v>488</v>
      </c>
      <c r="C10">
        <f>+PARTICIPATIVO!C74</f>
        <v>10000</v>
      </c>
    </row>
    <row r="11" spans="2:6" ht="20.25" customHeight="1" x14ac:dyDescent="0.3">
      <c r="B11" t="s">
        <v>489</v>
      </c>
      <c r="C11">
        <f>+PARTICIPATIVO!C75</f>
        <v>9000</v>
      </c>
    </row>
    <row r="12" spans="2:6" ht="20.25" customHeight="1" x14ac:dyDescent="0.3">
      <c r="B12" t="s">
        <v>490</v>
      </c>
      <c r="C12">
        <f>+PARTICIPATIVO!C76</f>
        <v>6000</v>
      </c>
    </row>
    <row r="13" spans="2:6" ht="20.25" customHeight="1" x14ac:dyDescent="0.3">
      <c r="B13" t="s">
        <v>491</v>
      </c>
      <c r="C13">
        <f>+PARTICIPATIVO!C77</f>
        <v>9559.8449999999993</v>
      </c>
    </row>
    <row r="14" spans="2:6" ht="20.25" customHeight="1" x14ac:dyDescent="0.3">
      <c r="B14" t="s">
        <v>466</v>
      </c>
      <c r="C14">
        <f>+PARTICIPATIVO!C79</f>
        <v>9000</v>
      </c>
    </row>
    <row r="15" spans="2:6" ht="20.25" customHeight="1" x14ac:dyDescent="0.3">
      <c r="B15" t="s">
        <v>389</v>
      </c>
      <c r="C15">
        <f>SUM(C3:C14)</f>
        <v>295992.66499999992</v>
      </c>
    </row>
    <row r="16" spans="2:6" ht="20.25" customHeight="1" x14ac:dyDescent="0.3">
      <c r="B16" t="s">
        <v>393</v>
      </c>
      <c r="C16">
        <v>85705.130000000019</v>
      </c>
      <c r="E16" t="s">
        <v>481</v>
      </c>
      <c r="F16" s="347">
        <f>+INGRESOS!J49</f>
        <v>409328.25</v>
      </c>
    </row>
    <row r="17" spans="2:7" ht="20.25" customHeight="1" x14ac:dyDescent="0.3">
      <c r="C17">
        <v>144376.94</v>
      </c>
      <c r="E17" t="s">
        <v>483</v>
      </c>
      <c r="F17">
        <f>+C15</f>
        <v>295992.66499999992</v>
      </c>
    </row>
    <row r="18" spans="2:7" ht="20.25" customHeight="1" x14ac:dyDescent="0.3">
      <c r="B18" t="s">
        <v>396</v>
      </c>
      <c r="C18">
        <v>210758.40000000002</v>
      </c>
      <c r="E18" t="s">
        <v>482</v>
      </c>
      <c r="F18">
        <f>+C2</f>
        <v>66571.353999999992</v>
      </c>
    </row>
    <row r="21" spans="2:7" ht="20.25" customHeight="1" x14ac:dyDescent="0.3">
      <c r="E21" t="s">
        <v>485</v>
      </c>
      <c r="F21">
        <f>+C6</f>
        <v>9500</v>
      </c>
      <c r="G21" s="348"/>
    </row>
    <row r="22" spans="2:7" ht="20.25" customHeight="1" x14ac:dyDescent="0.3">
      <c r="E22" t="s">
        <v>484</v>
      </c>
      <c r="F22">
        <f>+C5</f>
        <v>8615</v>
      </c>
      <c r="G22" s="348"/>
    </row>
  </sheetData>
  <pageMargins left="0.7" right="0.7" top="0.75" bottom="0.75" header="0.3" footer="0.3"/>
  <pageSetup paperSize="9" orientation="portrait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24"/>
  <sheetViews>
    <sheetView topLeftCell="C17" workbookViewId="0">
      <selection activeCell="D36" sqref="D36"/>
    </sheetView>
  </sheetViews>
  <sheetFormatPr baseColWidth="10" defaultRowHeight="14.4" x14ac:dyDescent="0.3"/>
  <cols>
    <col min="4" max="4" width="50.33203125" customWidth="1"/>
  </cols>
  <sheetData>
    <row r="2" spans="4:5" ht="15" thickBot="1" x14ac:dyDescent="0.35"/>
    <row r="3" spans="4:5" ht="16.2" thickBot="1" x14ac:dyDescent="0.35">
      <c r="D3" s="154" t="s">
        <v>369</v>
      </c>
      <c r="E3" s="155">
        <f>SUM(E4:E6)</f>
        <v>72316.899999999994</v>
      </c>
    </row>
    <row r="4" spans="4:5" ht="15" thickBot="1" x14ac:dyDescent="0.35">
      <c r="D4" s="156" t="s">
        <v>346</v>
      </c>
      <c r="E4" s="157">
        <v>53250</v>
      </c>
    </row>
    <row r="5" spans="4:5" ht="15" thickBot="1" x14ac:dyDescent="0.35">
      <c r="D5" s="156" t="s">
        <v>355</v>
      </c>
      <c r="E5" s="157">
        <v>13680</v>
      </c>
    </row>
    <row r="6" spans="4:5" ht="15" thickBot="1" x14ac:dyDescent="0.35">
      <c r="D6" s="156" t="s">
        <v>322</v>
      </c>
      <c r="E6" s="157">
        <v>5386.9</v>
      </c>
    </row>
    <row r="7" spans="4:5" ht="16.2" thickBot="1" x14ac:dyDescent="0.35">
      <c r="D7" s="158"/>
      <c r="E7" s="159"/>
    </row>
    <row r="8" spans="4:5" ht="16.2" thickBot="1" x14ac:dyDescent="0.35">
      <c r="D8" s="158"/>
      <c r="E8" s="160"/>
    </row>
    <row r="9" spans="4:5" ht="16.2" thickBot="1" x14ac:dyDescent="0.35">
      <c r="D9" s="161" t="s">
        <v>231</v>
      </c>
      <c r="E9" s="159">
        <f>SUM(E11:E23)</f>
        <v>95681.75</v>
      </c>
    </row>
    <row r="10" spans="4:5" ht="15" thickBot="1" x14ac:dyDescent="0.35">
      <c r="D10" s="162"/>
      <c r="E10" s="163"/>
    </row>
    <row r="11" spans="4:5" ht="29.4" thickBot="1" x14ac:dyDescent="0.35">
      <c r="D11" s="164" t="s">
        <v>320</v>
      </c>
      <c r="E11" s="165">
        <v>25000</v>
      </c>
    </row>
    <row r="12" spans="4:5" ht="15" thickBot="1" x14ac:dyDescent="0.35">
      <c r="D12" s="166" t="s">
        <v>364</v>
      </c>
      <c r="E12" s="157">
        <v>12000</v>
      </c>
    </row>
    <row r="13" spans="4:5" ht="15" thickBot="1" x14ac:dyDescent="0.35">
      <c r="D13" s="167" t="s">
        <v>347</v>
      </c>
      <c r="E13" s="157">
        <v>5000</v>
      </c>
    </row>
    <row r="14" spans="4:5" ht="15" thickBot="1" x14ac:dyDescent="0.35">
      <c r="D14" s="167" t="s">
        <v>354</v>
      </c>
      <c r="E14" s="157">
        <v>3000</v>
      </c>
    </row>
    <row r="15" spans="4:5" ht="15" thickBot="1" x14ac:dyDescent="0.35">
      <c r="D15" s="167" t="s">
        <v>348</v>
      </c>
      <c r="E15" s="157">
        <v>5000</v>
      </c>
    </row>
    <row r="16" spans="4:5" ht="29.4" thickBot="1" x14ac:dyDescent="0.35">
      <c r="D16" s="168" t="s">
        <v>349</v>
      </c>
      <c r="E16" s="169">
        <v>4000</v>
      </c>
    </row>
    <row r="17" spans="4:5" ht="15" thickBot="1" x14ac:dyDescent="0.35">
      <c r="D17" s="168" t="s">
        <v>350</v>
      </c>
      <c r="E17" s="169">
        <v>7000</v>
      </c>
    </row>
    <row r="18" spans="4:5" ht="15" thickBot="1" x14ac:dyDescent="0.35">
      <c r="D18" s="156" t="s">
        <v>351</v>
      </c>
      <c r="E18" s="170">
        <v>9430</v>
      </c>
    </row>
    <row r="19" spans="4:5" ht="15" thickBot="1" x14ac:dyDescent="0.35">
      <c r="D19" s="156" t="s">
        <v>352</v>
      </c>
      <c r="E19" s="169">
        <v>8000</v>
      </c>
    </row>
    <row r="20" spans="4:5" ht="29.4" thickBot="1" x14ac:dyDescent="0.35">
      <c r="D20" s="168" t="s">
        <v>353</v>
      </c>
      <c r="E20" s="157">
        <v>11000</v>
      </c>
    </row>
    <row r="21" spans="4:5" ht="29.4" thickBot="1" x14ac:dyDescent="0.35">
      <c r="D21" s="168" t="s">
        <v>357</v>
      </c>
      <c r="E21" s="157">
        <v>5751.75</v>
      </c>
    </row>
    <row r="22" spans="4:5" ht="15" thickBot="1" x14ac:dyDescent="0.35">
      <c r="D22" s="168" t="s">
        <v>133</v>
      </c>
      <c r="E22" s="157">
        <v>500</v>
      </c>
    </row>
    <row r="23" spans="4:5" ht="15" thickBot="1" x14ac:dyDescent="0.35">
      <c r="D23" s="168" t="s">
        <v>365</v>
      </c>
      <c r="E23" s="171"/>
    </row>
    <row r="24" spans="4:5" ht="15" thickBot="1" x14ac:dyDescent="0.35">
      <c r="D24" s="172" t="s">
        <v>356</v>
      </c>
      <c r="E24" s="173">
        <v>142998.65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D5" sqref="D5"/>
    </sheetView>
  </sheetViews>
  <sheetFormatPr baseColWidth="10" defaultRowHeight="14.4" x14ac:dyDescent="0.3"/>
  <cols>
    <col min="2" max="2" width="78.88671875" customWidth="1"/>
    <col min="3" max="3" width="32.109375" customWidth="1"/>
  </cols>
  <sheetData>
    <row r="1" spans="1:3" ht="21" x14ac:dyDescent="0.5">
      <c r="A1" s="465" t="s">
        <v>194</v>
      </c>
      <c r="B1" s="465"/>
      <c r="C1" s="465"/>
    </row>
    <row r="2" spans="1:3" ht="21" x14ac:dyDescent="0.5">
      <c r="A2" s="465"/>
      <c r="B2" s="465"/>
      <c r="C2" s="465"/>
    </row>
    <row r="3" spans="1:3" ht="21" x14ac:dyDescent="0.5">
      <c r="A3" s="465" t="s">
        <v>424</v>
      </c>
      <c r="B3" s="465"/>
      <c r="C3" s="465"/>
    </row>
    <row r="4" spans="1:3" ht="21" x14ac:dyDescent="0.5">
      <c r="A4" s="225"/>
      <c r="B4" s="226"/>
      <c r="C4" s="227"/>
    </row>
    <row r="5" spans="1:3" ht="31.5" customHeight="1" x14ac:dyDescent="0.3">
      <c r="A5" s="228" t="s">
        <v>193</v>
      </c>
      <c r="B5" s="229" t="s">
        <v>14</v>
      </c>
      <c r="C5" s="229" t="s">
        <v>379</v>
      </c>
    </row>
    <row r="6" spans="1:3" ht="31.5" customHeight="1" x14ac:dyDescent="0.3">
      <c r="A6" s="230">
        <v>1</v>
      </c>
      <c r="B6" s="231" t="s">
        <v>13</v>
      </c>
      <c r="C6" s="232">
        <f>+C7+C11</f>
        <v>63750</v>
      </c>
    </row>
    <row r="7" spans="1:3" ht="31.5" customHeight="1" x14ac:dyDescent="0.3">
      <c r="A7" s="233">
        <v>1.8</v>
      </c>
      <c r="B7" s="234" t="s">
        <v>165</v>
      </c>
      <c r="C7" s="235">
        <f t="shared" ref="C7" si="0">+C8</f>
        <v>63750</v>
      </c>
    </row>
    <row r="8" spans="1:3" ht="31.5" customHeight="1" x14ac:dyDescent="0.3">
      <c r="A8" s="236" t="s">
        <v>172</v>
      </c>
      <c r="B8" s="237" t="s">
        <v>173</v>
      </c>
      <c r="C8" s="238">
        <f t="shared" ref="C8" si="1">+C9+C10</f>
        <v>63750</v>
      </c>
    </row>
    <row r="9" spans="1:3" ht="31.5" customHeight="1" x14ac:dyDescent="0.3">
      <c r="A9" s="239" t="s">
        <v>198</v>
      </c>
      <c r="B9" s="240" t="s">
        <v>199</v>
      </c>
      <c r="C9" s="241">
        <v>0</v>
      </c>
    </row>
    <row r="10" spans="1:3" ht="31.5" customHeight="1" x14ac:dyDescent="0.3">
      <c r="A10" s="239" t="s">
        <v>166</v>
      </c>
      <c r="B10" s="240" t="s">
        <v>167</v>
      </c>
      <c r="C10" s="241">
        <v>63750</v>
      </c>
    </row>
    <row r="11" spans="1:3" ht="31.5" customHeight="1" x14ac:dyDescent="0.3">
      <c r="A11" s="233">
        <v>1.9</v>
      </c>
      <c r="B11" s="234" t="s">
        <v>168</v>
      </c>
      <c r="C11" s="235">
        <f t="shared" ref="C11:C12" si="2">+C12</f>
        <v>0</v>
      </c>
    </row>
    <row r="12" spans="1:3" ht="31.5" customHeight="1" x14ac:dyDescent="0.3">
      <c r="A12" s="236" t="s">
        <v>144</v>
      </c>
      <c r="B12" s="237" t="s">
        <v>380</v>
      </c>
      <c r="C12" s="238">
        <f t="shared" si="2"/>
        <v>0</v>
      </c>
    </row>
    <row r="13" spans="1:3" ht="31.5" customHeight="1" x14ac:dyDescent="0.3">
      <c r="A13" s="239" t="s">
        <v>145</v>
      </c>
      <c r="B13" s="240" t="s">
        <v>5</v>
      </c>
      <c r="C13" s="241">
        <v>0</v>
      </c>
    </row>
    <row r="14" spans="1:3" ht="31.5" customHeight="1" x14ac:dyDescent="0.3">
      <c r="A14" s="230">
        <v>2</v>
      </c>
      <c r="B14" s="231" t="s">
        <v>4</v>
      </c>
      <c r="C14" s="232">
        <f>C15</f>
        <v>179659.15</v>
      </c>
    </row>
    <row r="15" spans="1:3" ht="31.5" customHeight="1" x14ac:dyDescent="0.3">
      <c r="A15" s="233">
        <v>2.8</v>
      </c>
      <c r="B15" s="234" t="s">
        <v>169</v>
      </c>
      <c r="C15" s="235">
        <f>+C16+C19</f>
        <v>179659.15</v>
      </c>
    </row>
    <row r="16" spans="1:3" ht="31.5" customHeight="1" x14ac:dyDescent="0.3">
      <c r="A16" s="236" t="s">
        <v>146</v>
      </c>
      <c r="B16" s="237" t="s">
        <v>147</v>
      </c>
      <c r="C16" s="238">
        <f>SUM(C17:C18)</f>
        <v>84000</v>
      </c>
    </row>
    <row r="17" spans="1:3" ht="31.5" customHeight="1" x14ac:dyDescent="0.3">
      <c r="A17" s="239" t="s">
        <v>304</v>
      </c>
      <c r="B17" s="240" t="s">
        <v>305</v>
      </c>
      <c r="C17" s="241">
        <v>0</v>
      </c>
    </row>
    <row r="18" spans="1:3" ht="31.5" customHeight="1" x14ac:dyDescent="0.3">
      <c r="A18" s="239" t="s">
        <v>171</v>
      </c>
      <c r="B18" s="240" t="s">
        <v>381</v>
      </c>
      <c r="C18" s="241">
        <v>84000</v>
      </c>
    </row>
    <row r="19" spans="1:3" ht="31.5" customHeight="1" x14ac:dyDescent="0.3">
      <c r="A19" s="236" t="s">
        <v>148</v>
      </c>
      <c r="B19" s="237" t="s">
        <v>149</v>
      </c>
      <c r="C19" s="238">
        <f t="shared" ref="C19" si="3">+C20</f>
        <v>95659.15</v>
      </c>
    </row>
    <row r="20" spans="1:3" ht="31.5" customHeight="1" x14ac:dyDescent="0.3">
      <c r="A20" s="239" t="s">
        <v>170</v>
      </c>
      <c r="B20" s="240" t="s">
        <v>167</v>
      </c>
      <c r="C20" s="241">
        <v>95659.15</v>
      </c>
    </row>
    <row r="21" spans="1:3" ht="31.5" customHeight="1" x14ac:dyDescent="0.3">
      <c r="A21" s="230">
        <v>3</v>
      </c>
      <c r="B21" s="242" t="s">
        <v>3</v>
      </c>
      <c r="C21" s="243">
        <f>+C22+C27</f>
        <v>39265.32</v>
      </c>
    </row>
    <row r="22" spans="1:3" ht="31.5" customHeight="1" x14ac:dyDescent="0.3">
      <c r="A22" s="233">
        <v>3.7</v>
      </c>
      <c r="B22" s="244" t="s">
        <v>2</v>
      </c>
      <c r="C22" s="245">
        <f>C24</f>
        <v>31265.32</v>
      </c>
    </row>
    <row r="23" spans="1:3" ht="31.5" customHeight="1" x14ac:dyDescent="0.3">
      <c r="A23" s="236" t="s">
        <v>150</v>
      </c>
      <c r="B23" s="237" t="s">
        <v>1</v>
      </c>
      <c r="C23" s="246"/>
    </row>
    <row r="24" spans="1:3" ht="31.5" customHeight="1" x14ac:dyDescent="0.3">
      <c r="A24" s="236" t="s">
        <v>299</v>
      </c>
      <c r="B24" s="240" t="s">
        <v>300</v>
      </c>
      <c r="C24" s="241">
        <v>31265.32</v>
      </c>
    </row>
    <row r="25" spans="1:3" ht="31.5" customHeight="1" x14ac:dyDescent="0.3">
      <c r="A25" s="239" t="s">
        <v>294</v>
      </c>
      <c r="B25" s="240" t="s">
        <v>196</v>
      </c>
      <c r="C25" s="241"/>
    </row>
    <row r="26" spans="1:3" ht="31.5" customHeight="1" x14ac:dyDescent="0.3">
      <c r="A26" s="239" t="s">
        <v>317</v>
      </c>
      <c r="B26" s="240" t="s">
        <v>318</v>
      </c>
      <c r="C26" s="241"/>
    </row>
    <row r="27" spans="1:3" ht="31.5" customHeight="1" x14ac:dyDescent="0.3">
      <c r="A27" s="233">
        <v>3.8</v>
      </c>
      <c r="B27" s="244" t="s">
        <v>151</v>
      </c>
      <c r="C27" s="247">
        <f>+C28</f>
        <v>8000</v>
      </c>
    </row>
    <row r="28" spans="1:3" ht="31.5" customHeight="1" x14ac:dyDescent="0.3">
      <c r="A28" s="236" t="s">
        <v>152</v>
      </c>
      <c r="B28" s="237" t="s">
        <v>151</v>
      </c>
      <c r="C28" s="238">
        <f>+C29</f>
        <v>8000</v>
      </c>
    </row>
    <row r="29" spans="1:3" ht="31.5" customHeight="1" x14ac:dyDescent="0.3">
      <c r="A29" s="239" t="s">
        <v>153</v>
      </c>
      <c r="B29" s="240" t="s">
        <v>302</v>
      </c>
      <c r="C29" s="241">
        <v>8000</v>
      </c>
    </row>
    <row r="30" spans="1:3" ht="31.5" customHeight="1" x14ac:dyDescent="0.3">
      <c r="A30" s="239" t="s">
        <v>301</v>
      </c>
      <c r="B30" s="248" t="s">
        <v>303</v>
      </c>
      <c r="C30" s="249">
        <v>0</v>
      </c>
    </row>
    <row r="31" spans="1:3" ht="31.5" customHeight="1" x14ac:dyDescent="0.3">
      <c r="A31" s="250"/>
      <c r="B31" s="251" t="s">
        <v>0</v>
      </c>
      <c r="C31" s="252">
        <f>+C27+C22+C15+C11+C7</f>
        <v>282674.46999999997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11" sqref="C11"/>
    </sheetView>
  </sheetViews>
  <sheetFormatPr baseColWidth="10" defaultRowHeight="14.4" x14ac:dyDescent="0.3"/>
  <cols>
    <col min="1" max="1" width="17.109375" customWidth="1"/>
    <col min="2" max="2" width="57.5546875" customWidth="1"/>
    <col min="3" max="3" width="36.44140625" customWidth="1"/>
    <col min="4" max="8" width="11.44140625" customWidth="1"/>
    <col min="10" max="11" width="11.44140625" customWidth="1"/>
  </cols>
  <sheetData>
    <row r="1" spans="1:4" ht="17.399999999999999" x14ac:dyDescent="0.3">
      <c r="A1" s="466" t="s">
        <v>420</v>
      </c>
      <c r="B1" s="466"/>
      <c r="C1" s="466"/>
    </row>
    <row r="2" spans="1:4" ht="23.25" customHeight="1" x14ac:dyDescent="0.3">
      <c r="A2" s="200" t="s">
        <v>371</v>
      </c>
      <c r="B2" s="201" t="s">
        <v>34</v>
      </c>
      <c r="C2" s="202"/>
    </row>
    <row r="3" spans="1:4" ht="17.399999999999999" x14ac:dyDescent="0.3">
      <c r="A3" s="203"/>
      <c r="B3" s="204"/>
      <c r="C3" s="205"/>
    </row>
    <row r="4" spans="1:4" ht="17.399999999999999" x14ac:dyDescent="0.3">
      <c r="A4" s="206" t="s">
        <v>39</v>
      </c>
      <c r="B4" s="207" t="s">
        <v>40</v>
      </c>
      <c r="C4" s="208" t="s">
        <v>41</v>
      </c>
    </row>
    <row r="5" spans="1:4" ht="17.399999999999999" x14ac:dyDescent="0.3">
      <c r="A5" s="206"/>
      <c r="B5" s="207"/>
      <c r="C5" s="208"/>
    </row>
    <row r="6" spans="1:4" ht="17.399999999999999" x14ac:dyDescent="0.3">
      <c r="A6" s="209"/>
      <c r="B6" s="210" t="s">
        <v>417</v>
      </c>
      <c r="C6" s="211">
        <v>63750</v>
      </c>
    </row>
    <row r="7" spans="1:4" ht="17.399999999999999" x14ac:dyDescent="0.3">
      <c r="A7" s="206"/>
      <c r="B7" s="207"/>
      <c r="C7" s="208"/>
    </row>
    <row r="8" spans="1:4" ht="17.399999999999999" x14ac:dyDescent="0.3">
      <c r="A8" s="212" t="s">
        <v>118</v>
      </c>
      <c r="B8" s="212" t="s">
        <v>401</v>
      </c>
      <c r="C8" s="213"/>
    </row>
    <row r="9" spans="1:4" ht="69.599999999999994" x14ac:dyDescent="0.3">
      <c r="A9" s="214" t="s">
        <v>307</v>
      </c>
      <c r="B9" s="214" t="s">
        <v>425</v>
      </c>
      <c r="C9" s="211">
        <v>6043.17</v>
      </c>
    </row>
    <row r="10" spans="1:4" ht="17.399999999999999" x14ac:dyDescent="0.3">
      <c r="A10" s="212" t="s">
        <v>118</v>
      </c>
      <c r="B10" s="212" t="s">
        <v>402</v>
      </c>
      <c r="C10" s="208"/>
    </row>
    <row r="11" spans="1:4" ht="69.599999999999994" x14ac:dyDescent="0.3">
      <c r="A11" s="214" t="s">
        <v>307</v>
      </c>
      <c r="B11" s="214" t="s">
        <v>370</v>
      </c>
      <c r="C11" s="211">
        <v>10976.04</v>
      </c>
    </row>
    <row r="12" spans="1:4" ht="34.799999999999997" x14ac:dyDescent="0.3">
      <c r="A12" s="214" t="s">
        <v>307</v>
      </c>
      <c r="B12" s="214" t="s">
        <v>423</v>
      </c>
      <c r="C12" s="211">
        <v>10000</v>
      </c>
    </row>
    <row r="13" spans="1:4" ht="34.799999999999997" x14ac:dyDescent="0.3">
      <c r="A13" s="214" t="s">
        <v>307</v>
      </c>
      <c r="B13" s="214" t="s">
        <v>418</v>
      </c>
      <c r="C13" s="211">
        <v>6000</v>
      </c>
      <c r="D13" t="s">
        <v>426</v>
      </c>
    </row>
    <row r="14" spans="1:4" ht="17.399999999999999" x14ac:dyDescent="0.3">
      <c r="A14" s="215" t="s">
        <v>118</v>
      </c>
      <c r="B14" s="215" t="s">
        <v>372</v>
      </c>
      <c r="C14" s="208"/>
    </row>
    <row r="15" spans="1:4" ht="69.599999999999994" x14ac:dyDescent="0.3">
      <c r="A15" s="210" t="s">
        <v>307</v>
      </c>
      <c r="B15" s="210" t="s">
        <v>412</v>
      </c>
      <c r="C15" s="211">
        <v>4596.8999999999996</v>
      </c>
      <c r="D15" t="s">
        <v>427</v>
      </c>
    </row>
    <row r="16" spans="1:4" ht="17.399999999999999" x14ac:dyDescent="0.3">
      <c r="A16" s="215" t="s">
        <v>118</v>
      </c>
      <c r="B16" s="215" t="s">
        <v>321</v>
      </c>
      <c r="C16" s="208"/>
    </row>
    <row r="17" spans="1:4" ht="52.2" x14ac:dyDescent="0.3">
      <c r="A17" s="210" t="s">
        <v>307</v>
      </c>
      <c r="B17" s="210" t="s">
        <v>411</v>
      </c>
      <c r="C17" s="211">
        <v>49609.15</v>
      </c>
      <c r="D17" t="s">
        <v>430</v>
      </c>
    </row>
    <row r="18" spans="1:4" ht="17.399999999999999" x14ac:dyDescent="0.3">
      <c r="A18" s="215" t="s">
        <v>118</v>
      </c>
      <c r="B18" s="215" t="s">
        <v>374</v>
      </c>
      <c r="C18" s="208"/>
    </row>
    <row r="19" spans="1:4" ht="17.399999999999999" x14ac:dyDescent="0.3">
      <c r="A19" s="210" t="s">
        <v>307</v>
      </c>
      <c r="B19" s="210" t="s">
        <v>375</v>
      </c>
      <c r="C19" s="211">
        <v>109349.21</v>
      </c>
      <c r="D19" t="s">
        <v>429</v>
      </c>
    </row>
    <row r="20" spans="1:4" ht="34.799999999999997" x14ac:dyDescent="0.3">
      <c r="A20" s="212" t="s">
        <v>371</v>
      </c>
      <c r="B20" s="212" t="s">
        <v>324</v>
      </c>
      <c r="C20" s="208"/>
    </row>
    <row r="21" spans="1:4" ht="34.799999999999997" x14ac:dyDescent="0.3">
      <c r="A21" s="214" t="s">
        <v>373</v>
      </c>
      <c r="B21" s="214" t="s">
        <v>376</v>
      </c>
      <c r="C21" s="211">
        <v>8000</v>
      </c>
    </row>
    <row r="22" spans="1:4" ht="17.399999999999999" x14ac:dyDescent="0.3">
      <c r="A22" s="216" t="s">
        <v>307</v>
      </c>
      <c r="B22" s="217" t="s">
        <v>419</v>
      </c>
      <c r="C22" s="211">
        <v>1550</v>
      </c>
      <c r="D22" t="s">
        <v>428</v>
      </c>
    </row>
    <row r="23" spans="1:4" ht="17.399999999999999" x14ac:dyDescent="0.3">
      <c r="A23" s="209" t="s">
        <v>307</v>
      </c>
      <c r="B23" s="210" t="s">
        <v>415</v>
      </c>
      <c r="C23" s="211">
        <v>7000</v>
      </c>
    </row>
    <row r="24" spans="1:4" ht="17.399999999999999" x14ac:dyDescent="0.3">
      <c r="A24" s="209" t="s">
        <v>307</v>
      </c>
      <c r="B24" s="210" t="s">
        <v>421</v>
      </c>
      <c r="C24" s="211">
        <v>7000</v>
      </c>
    </row>
    <row r="25" spans="1:4" ht="34.799999999999997" x14ac:dyDescent="0.3">
      <c r="A25" s="209" t="s">
        <v>307</v>
      </c>
      <c r="B25" s="210" t="s">
        <v>422</v>
      </c>
      <c r="C25" s="211">
        <v>800</v>
      </c>
    </row>
    <row r="26" spans="1:4" ht="17.399999999999999" x14ac:dyDescent="0.3">
      <c r="A26" s="218"/>
      <c r="B26" s="223" t="s">
        <v>195</v>
      </c>
      <c r="C26" s="224">
        <f>C23+C22+C21+C19+C17+C15+C13+C11+C9+C6+C24+C25</f>
        <v>274674.47000000003</v>
      </c>
    </row>
    <row r="27" spans="1:4" ht="17.399999999999999" x14ac:dyDescent="0.3">
      <c r="A27" s="219"/>
      <c r="B27" s="219"/>
      <c r="C27" s="219"/>
    </row>
    <row r="28" spans="1:4" ht="17.399999999999999" x14ac:dyDescent="0.3">
      <c r="A28" s="219"/>
      <c r="B28" s="219"/>
      <c r="C28" s="219"/>
    </row>
    <row r="29" spans="1:4" ht="17.399999999999999" x14ac:dyDescent="0.3">
      <c r="A29" s="219"/>
      <c r="B29" s="219"/>
      <c r="C29" s="219"/>
    </row>
    <row r="30" spans="1:4" ht="17.399999999999999" x14ac:dyDescent="0.3">
      <c r="A30" s="220"/>
      <c r="B30" s="221"/>
      <c r="C30" s="222"/>
    </row>
    <row r="31" spans="1:4" ht="17.399999999999999" x14ac:dyDescent="0.3">
      <c r="A31" s="220"/>
      <c r="B31" s="221"/>
      <c r="C31" s="222"/>
    </row>
    <row r="32" spans="1:4" ht="17.399999999999999" x14ac:dyDescent="0.3">
      <c r="A32" s="220"/>
      <c r="B32" s="221"/>
      <c r="C32" s="222"/>
    </row>
  </sheetData>
  <mergeCells count="1">
    <mergeCell ref="A1:C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INGRESOS</vt:lpstr>
      <vt:lpstr>GASTOS</vt:lpstr>
      <vt:lpstr>DISTRIBUTIVO</vt:lpstr>
      <vt:lpstr>PARTICIPATIVO</vt:lpstr>
      <vt:lpstr>Hoja2</vt:lpstr>
      <vt:lpstr>Hoja3</vt:lpstr>
      <vt:lpstr>INGRESOS 2019</vt:lpstr>
      <vt:lpstr>GASTOS 2019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GADPrincipal</cp:lastModifiedBy>
  <cp:lastPrinted>2022-04-22T21:35:56Z</cp:lastPrinted>
  <dcterms:created xsi:type="dcterms:W3CDTF">2010-08-18T18:51:53Z</dcterms:created>
  <dcterms:modified xsi:type="dcterms:W3CDTF">2022-10-04T15:02:43Z</dcterms:modified>
</cp:coreProperties>
</file>