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DPrincipal\Desktop\ADM-2023-2027\DOCUMENTOS\"/>
    </mc:Choice>
  </mc:AlternateContent>
  <bookViews>
    <workbookView xWindow="0" yWindow="0" windowWidth="22944" windowHeight="9048" tabRatio="733" activeTab="1"/>
  </bookViews>
  <sheets>
    <sheet name="INGRESOS" sheetId="4" r:id="rId1"/>
    <sheet name="GASTOS" sheetId="2" r:id="rId2"/>
    <sheet name="DISTRIBUTIVO" sheetId="5" r:id="rId3"/>
    <sheet name="VACACIONES NO GOZADAS" sheetId="13" r:id="rId4"/>
    <sheet name="PARTICIPATIVO" sheetId="7" r:id="rId5"/>
    <sheet name="Hoja2" sheetId="8" r:id="rId6"/>
    <sheet name="Hoja3" sheetId="9" r:id="rId7"/>
    <sheet name="INGRESOS 2019" sheetId="12" r:id="rId8"/>
    <sheet name="GASTOS 2019" sheetId="10" r:id="rId9"/>
  </sheets>
  <externalReferences>
    <externalReference r:id="rId10"/>
    <externalReference r:id="rId11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GASTOS!$A$1:$I$281</definedName>
    <definedName name="_xlnm.Print_Area" localSheetId="0">INGRESOS!$A$9:$N$58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52511"/>
</workbook>
</file>

<file path=xl/calcChain.xml><?xml version="1.0" encoding="utf-8"?>
<calcChain xmlns="http://schemas.openxmlformats.org/spreadsheetml/2006/main">
  <c r="I282" i="2" l="1"/>
  <c r="D274" i="2"/>
  <c r="I274" i="2" s="1"/>
  <c r="I273" i="2" s="1"/>
  <c r="I272" i="2" s="1"/>
  <c r="H273" i="2"/>
  <c r="G273" i="2"/>
  <c r="G272" i="2" s="1"/>
  <c r="F273" i="2"/>
  <c r="F272" i="2" s="1"/>
  <c r="E273" i="2"/>
  <c r="H272" i="2"/>
  <c r="E272" i="2"/>
  <c r="I77" i="2"/>
  <c r="I78" i="2"/>
  <c r="E75" i="2"/>
  <c r="I152" i="2"/>
  <c r="I151" i="2" s="1"/>
  <c r="I149" i="2"/>
  <c r="I178" i="2"/>
  <c r="I177" i="2" s="1"/>
  <c r="I175" i="2"/>
  <c r="I174" i="2" s="1"/>
  <c r="F151" i="2"/>
  <c r="D154" i="2"/>
  <c r="D151" i="2"/>
  <c r="F154" i="2"/>
  <c r="D273" i="2" l="1"/>
  <c r="D272" i="2" s="1"/>
  <c r="I266" i="2"/>
  <c r="D104" i="2"/>
  <c r="D92" i="2"/>
  <c r="D88" i="2"/>
  <c r="F94" i="2"/>
  <c r="F93" i="2"/>
  <c r="F90" i="2"/>
  <c r="F89" i="2"/>
  <c r="F15" i="2"/>
  <c r="F57" i="2"/>
  <c r="F23" i="2"/>
  <c r="F8" i="2"/>
  <c r="F46" i="2"/>
  <c r="F62" i="2"/>
  <c r="F11" i="2"/>
  <c r="I59" i="2"/>
  <c r="I16" i="2"/>
  <c r="D57" i="2"/>
  <c r="F92" i="2" l="1"/>
  <c r="F56" i="2"/>
  <c r="I202" i="2"/>
  <c r="I201" i="2" s="1"/>
  <c r="I163" i="2"/>
  <c r="I162" i="2" s="1"/>
  <c r="I161" i="2" s="1"/>
  <c r="I160" i="2" s="1"/>
  <c r="E259" i="2"/>
  <c r="F259" i="2"/>
  <c r="H259" i="2"/>
  <c r="D259" i="2"/>
  <c r="E211" i="2"/>
  <c r="F211" i="2"/>
  <c r="G211" i="2"/>
  <c r="D211" i="2"/>
  <c r="G259" i="2"/>
  <c r="I209" i="2"/>
  <c r="I208" i="2" s="1"/>
  <c r="I220" i="2"/>
  <c r="I219" i="2" s="1"/>
  <c r="E237" i="2"/>
  <c r="I253" i="2"/>
  <c r="I252" i="2" s="1"/>
  <c r="I250" i="2"/>
  <c r="I249" i="2" s="1"/>
  <c r="G252" i="2"/>
  <c r="H252" i="2"/>
  <c r="G249" i="2"/>
  <c r="H249" i="2"/>
  <c r="G244" i="2"/>
  <c r="H244" i="2"/>
  <c r="G240" i="2"/>
  <c r="H240" i="2"/>
  <c r="G237" i="2"/>
  <c r="H237" i="2"/>
  <c r="F252" i="2"/>
  <c r="F249" i="2"/>
  <c r="F246" i="2"/>
  <c r="F245" i="2"/>
  <c r="F242" i="2"/>
  <c r="F241" i="2"/>
  <c r="F238" i="2"/>
  <c r="I39" i="5"/>
  <c r="J39" i="5" s="1"/>
  <c r="G39" i="5"/>
  <c r="G42" i="5" s="1"/>
  <c r="G43" i="5" s="1"/>
  <c r="F39" i="5"/>
  <c r="F28" i="5"/>
  <c r="J28" i="5"/>
  <c r="J33" i="5" s="1"/>
  <c r="D246" i="2"/>
  <c r="D245" i="2"/>
  <c r="E244" i="2"/>
  <c r="D242" i="2"/>
  <c r="D241" i="2"/>
  <c r="E240" i="2"/>
  <c r="H239" i="2"/>
  <c r="D238" i="2"/>
  <c r="D237" i="2" s="1"/>
  <c r="G168" i="2"/>
  <c r="H168" i="2"/>
  <c r="F168" i="2"/>
  <c r="I172" i="2"/>
  <c r="F28" i="2"/>
  <c r="F27" i="2" s="1"/>
  <c r="F7" i="2" s="1"/>
  <c r="E11" i="5"/>
  <c r="E12" i="5"/>
  <c r="D13" i="5"/>
  <c r="E13" i="5"/>
  <c r="D14" i="5"/>
  <c r="E14" i="5"/>
  <c r="D15" i="5"/>
  <c r="E15" i="5"/>
  <c r="E16" i="5"/>
  <c r="E18" i="5"/>
  <c r="D9" i="2"/>
  <c r="I9" i="2" s="1"/>
  <c r="I8" i="2" s="1"/>
  <c r="F11" i="5"/>
  <c r="F12" i="5"/>
  <c r="F13" i="5"/>
  <c r="F14" i="5"/>
  <c r="F15" i="5"/>
  <c r="F16" i="5"/>
  <c r="F18" i="5"/>
  <c r="D12" i="2"/>
  <c r="I12" i="2" s="1"/>
  <c r="G11" i="5"/>
  <c r="G12" i="5"/>
  <c r="G13" i="5"/>
  <c r="G14" i="5"/>
  <c r="G15" i="5"/>
  <c r="G16" i="5"/>
  <c r="G18" i="5"/>
  <c r="D13" i="2"/>
  <c r="I13" i="2" s="1"/>
  <c r="I11" i="5"/>
  <c r="I12" i="5"/>
  <c r="I13" i="5"/>
  <c r="I14" i="5"/>
  <c r="I15" i="5"/>
  <c r="I16" i="5"/>
  <c r="I18" i="5"/>
  <c r="D24" i="2"/>
  <c r="I24" i="2" s="1"/>
  <c r="H11" i="5"/>
  <c r="H14" i="5"/>
  <c r="H18" i="5"/>
  <c r="I25" i="2"/>
  <c r="I15" i="2"/>
  <c r="D33" i="2"/>
  <c r="I34" i="2"/>
  <c r="I36" i="2"/>
  <c r="I37" i="2"/>
  <c r="D40" i="2"/>
  <c r="I40" i="2" s="1"/>
  <c r="I39" i="2" s="1"/>
  <c r="I43" i="2"/>
  <c r="I42" i="2" s="1"/>
  <c r="D47" i="2"/>
  <c r="I47" i="2" s="1"/>
  <c r="I48" i="2"/>
  <c r="D49" i="2"/>
  <c r="I49" i="2" s="1"/>
  <c r="I53" i="2"/>
  <c r="D54" i="2"/>
  <c r="I54" i="2" s="1"/>
  <c r="I58" i="2"/>
  <c r="I60" i="2"/>
  <c r="I63" i="2"/>
  <c r="I62" i="2" s="1"/>
  <c r="E21" i="5"/>
  <c r="D86" i="2"/>
  <c r="F21" i="5"/>
  <c r="I90" i="2"/>
  <c r="I21" i="5"/>
  <c r="I93" i="2"/>
  <c r="H21" i="5"/>
  <c r="H28" i="5"/>
  <c r="H33" i="5" s="1"/>
  <c r="I99" i="2"/>
  <c r="I98" i="2" s="1"/>
  <c r="I102" i="2"/>
  <c r="I101" i="2" s="1"/>
  <c r="I106" i="2"/>
  <c r="I105" i="2"/>
  <c r="I107" i="2"/>
  <c r="I110" i="2"/>
  <c r="I109" i="2" s="1"/>
  <c r="I69" i="2"/>
  <c r="I70" i="2"/>
  <c r="I71" i="2"/>
  <c r="I76" i="2"/>
  <c r="I79" i="2"/>
  <c r="I131" i="2"/>
  <c r="I130" i="2" s="1"/>
  <c r="I134" i="2"/>
  <c r="I133" i="2" s="1"/>
  <c r="I137" i="2"/>
  <c r="I138" i="2"/>
  <c r="I139" i="2"/>
  <c r="I140" i="2"/>
  <c r="D121" i="2"/>
  <c r="I121" i="2" s="1"/>
  <c r="I122" i="2"/>
  <c r="D117" i="2"/>
  <c r="I117" i="2" s="1"/>
  <c r="I118" i="2"/>
  <c r="D125" i="2"/>
  <c r="I125" i="2" s="1"/>
  <c r="I126" i="2"/>
  <c r="I148" i="2"/>
  <c r="I155" i="2"/>
  <c r="I156" i="2"/>
  <c r="I157" i="2"/>
  <c r="I158" i="2"/>
  <c r="I145" i="2"/>
  <c r="I144" i="2" s="1"/>
  <c r="I143" i="2" s="1"/>
  <c r="I169" i="2"/>
  <c r="I170" i="2"/>
  <c r="I171" i="2"/>
  <c r="I185" i="2"/>
  <c r="I184" i="2" s="1"/>
  <c r="I188" i="2"/>
  <c r="I187" i="2" s="1"/>
  <c r="I191" i="2"/>
  <c r="I190" i="2" s="1"/>
  <c r="I193" i="2"/>
  <c r="I192" i="2" s="1"/>
  <c r="I205" i="2"/>
  <c r="I204" i="2" s="1"/>
  <c r="I199" i="2" s="1"/>
  <c r="I221" i="2"/>
  <c r="I222" i="2"/>
  <c r="I225" i="2"/>
  <c r="I226" i="2"/>
  <c r="I227" i="2"/>
  <c r="I228" i="2"/>
  <c r="I231" i="2"/>
  <c r="I232" i="2"/>
  <c r="I263" i="2"/>
  <c r="I264" i="2"/>
  <c r="I270" i="2"/>
  <c r="I269" i="2" s="1"/>
  <c r="I268" i="2" s="1"/>
  <c r="E27" i="2"/>
  <c r="E8" i="2"/>
  <c r="E11" i="2"/>
  <c r="E15" i="2"/>
  <c r="E23" i="2"/>
  <c r="E35" i="2"/>
  <c r="E31" i="2" s="1"/>
  <c r="E39" i="2"/>
  <c r="E42" i="2"/>
  <c r="E46" i="2"/>
  <c r="E52" i="2"/>
  <c r="E51" i="2" s="1"/>
  <c r="E57" i="2"/>
  <c r="E62" i="2"/>
  <c r="E68" i="2"/>
  <c r="E67" i="2" s="1"/>
  <c r="E65" i="2" s="1"/>
  <c r="E74" i="2"/>
  <c r="E72" i="2" s="1"/>
  <c r="E85" i="2"/>
  <c r="E88" i="2"/>
  <c r="E92" i="2"/>
  <c r="E98" i="2"/>
  <c r="E101" i="2"/>
  <c r="E104" i="2"/>
  <c r="E109" i="2"/>
  <c r="E130" i="2"/>
  <c r="E133" i="2"/>
  <c r="E136" i="2"/>
  <c r="E120" i="2"/>
  <c r="E116" i="2"/>
  <c r="E124" i="2"/>
  <c r="E148" i="2"/>
  <c r="E151" i="2"/>
  <c r="E154" i="2"/>
  <c r="E162" i="2"/>
  <c r="E161" i="2" s="1"/>
  <c r="E160" i="2" s="1"/>
  <c r="E144" i="2"/>
  <c r="E143" i="2" s="1"/>
  <c r="E168" i="2"/>
  <c r="E174" i="2"/>
  <c r="E177" i="2"/>
  <c r="E184" i="2"/>
  <c r="E187" i="2"/>
  <c r="E190" i="2"/>
  <c r="E192" i="2"/>
  <c r="E204" i="2"/>
  <c r="E199" i="2" s="1"/>
  <c r="E208" i="2"/>
  <c r="E219" i="2"/>
  <c r="E224" i="2"/>
  <c r="E230" i="2"/>
  <c r="E262" i="2"/>
  <c r="E269" i="2"/>
  <c r="E268" i="2" s="1"/>
  <c r="F35" i="2"/>
  <c r="F31" i="2" s="1"/>
  <c r="F39" i="2"/>
  <c r="F42" i="2"/>
  <c r="F52" i="2"/>
  <c r="F51" i="2" s="1"/>
  <c r="F68" i="2"/>
  <c r="F67" i="2" s="1"/>
  <c r="F65" i="2" s="1"/>
  <c r="F75" i="2"/>
  <c r="F74" i="2" s="1"/>
  <c r="F72" i="2" s="1"/>
  <c r="F85" i="2"/>
  <c r="F84" i="2" s="1"/>
  <c r="F88" i="2"/>
  <c r="F98" i="2"/>
  <c r="F101" i="2"/>
  <c r="F104" i="2"/>
  <c r="F109" i="2"/>
  <c r="F130" i="2"/>
  <c r="F133" i="2"/>
  <c r="F136" i="2"/>
  <c r="F120" i="2"/>
  <c r="F116" i="2"/>
  <c r="F124" i="2"/>
  <c r="F148" i="2"/>
  <c r="F147" i="2" s="1"/>
  <c r="F144" i="2"/>
  <c r="F143" i="2" s="1"/>
  <c r="F174" i="2"/>
  <c r="F177" i="2"/>
  <c r="F184" i="2"/>
  <c r="F187" i="2"/>
  <c r="F190" i="2"/>
  <c r="F192" i="2"/>
  <c r="F204" i="2"/>
  <c r="F199" i="2" s="1"/>
  <c r="F219" i="2"/>
  <c r="F224" i="2"/>
  <c r="F230" i="2"/>
  <c r="F262" i="2"/>
  <c r="F269" i="2"/>
  <c r="F268" i="2" s="1"/>
  <c r="G27" i="2"/>
  <c r="G8" i="2"/>
  <c r="G11" i="2"/>
  <c r="G15" i="2"/>
  <c r="G23" i="2"/>
  <c r="G35" i="2"/>
  <c r="G31" i="2" s="1"/>
  <c r="G39" i="2"/>
  <c r="G42" i="2"/>
  <c r="G46" i="2"/>
  <c r="G52" i="2"/>
  <c r="G51" i="2" s="1"/>
  <c r="G57" i="2"/>
  <c r="G62" i="2"/>
  <c r="G68" i="2"/>
  <c r="G67" i="2" s="1"/>
  <c r="G65" i="2" s="1"/>
  <c r="G75" i="2"/>
  <c r="G74" i="2" s="1"/>
  <c r="G72" i="2" s="1"/>
  <c r="G85" i="2"/>
  <c r="G88" i="2"/>
  <c r="G92" i="2"/>
  <c r="G98" i="2"/>
  <c r="G101" i="2"/>
  <c r="G104" i="2"/>
  <c r="G109" i="2"/>
  <c r="G130" i="2"/>
  <c r="G133" i="2"/>
  <c r="G136" i="2"/>
  <c r="G120" i="2"/>
  <c r="G116" i="2"/>
  <c r="G124" i="2"/>
  <c r="G148" i="2"/>
  <c r="G151" i="2"/>
  <c r="G154" i="2"/>
  <c r="G162" i="2"/>
  <c r="G161" i="2" s="1"/>
  <c r="G160" i="2" s="1"/>
  <c r="G144" i="2"/>
  <c r="G143" i="2" s="1"/>
  <c r="G174" i="2"/>
  <c r="G177" i="2"/>
  <c r="G184" i="2"/>
  <c r="G187" i="2"/>
  <c r="G190" i="2"/>
  <c r="G192" i="2"/>
  <c r="G204" i="2"/>
  <c r="G199" i="2" s="1"/>
  <c r="G208" i="2"/>
  <c r="G207" i="2" s="1"/>
  <c r="G219" i="2"/>
  <c r="G224" i="2"/>
  <c r="G230" i="2"/>
  <c r="G262" i="2"/>
  <c r="G269" i="2"/>
  <c r="G268" i="2" s="1"/>
  <c r="H27" i="2"/>
  <c r="H8" i="2"/>
  <c r="H11" i="2"/>
  <c r="H15" i="2"/>
  <c r="H23" i="2"/>
  <c r="H35" i="2"/>
  <c r="H31" i="2" s="1"/>
  <c r="H39" i="2"/>
  <c r="H42" i="2"/>
  <c r="H46" i="2"/>
  <c r="H52" i="2"/>
  <c r="H51" i="2" s="1"/>
  <c r="H57" i="2"/>
  <c r="H62" i="2"/>
  <c r="H68" i="2"/>
  <c r="H67" i="2" s="1"/>
  <c r="H65" i="2" s="1"/>
  <c r="H75" i="2"/>
  <c r="H74" i="2" s="1"/>
  <c r="H72" i="2" s="1"/>
  <c r="H85" i="2"/>
  <c r="H88" i="2"/>
  <c r="H92" i="2"/>
  <c r="H98" i="2"/>
  <c r="H101" i="2"/>
  <c r="H104" i="2"/>
  <c r="H109" i="2"/>
  <c r="H130" i="2"/>
  <c r="H133" i="2"/>
  <c r="H136" i="2"/>
  <c r="H120" i="2"/>
  <c r="H116" i="2"/>
  <c r="H124" i="2"/>
  <c r="H148" i="2"/>
  <c r="H151" i="2"/>
  <c r="H154" i="2"/>
  <c r="H162" i="2"/>
  <c r="H161" i="2" s="1"/>
  <c r="H160" i="2" s="1"/>
  <c r="H144" i="2"/>
  <c r="H143" i="2" s="1"/>
  <c r="H174" i="2"/>
  <c r="H177" i="2"/>
  <c r="H184" i="2"/>
  <c r="H187" i="2"/>
  <c r="H190" i="2"/>
  <c r="H192" i="2"/>
  <c r="H204" i="2"/>
  <c r="H199" i="2" s="1"/>
  <c r="H208" i="2"/>
  <c r="H219" i="2"/>
  <c r="H224" i="2"/>
  <c r="H230" i="2"/>
  <c r="H262" i="2"/>
  <c r="H269" i="2"/>
  <c r="H268" i="2" s="1"/>
  <c r="D27" i="2"/>
  <c r="D15" i="2"/>
  <c r="D35" i="2"/>
  <c r="D42" i="2"/>
  <c r="D62" i="2"/>
  <c r="D56" i="2" s="1"/>
  <c r="D98" i="2"/>
  <c r="D101" i="2"/>
  <c r="D109" i="2"/>
  <c r="D68" i="2"/>
  <c r="D67" i="2" s="1"/>
  <c r="D65" i="2" s="1"/>
  <c r="D75" i="2"/>
  <c r="D74" i="2" s="1"/>
  <c r="D72" i="2" s="1"/>
  <c r="D130" i="2"/>
  <c r="D133" i="2"/>
  <c r="D136" i="2"/>
  <c r="D148" i="2"/>
  <c r="D147" i="2" s="1"/>
  <c r="D162" i="2"/>
  <c r="D161" i="2" s="1"/>
  <c r="D160" i="2" s="1"/>
  <c r="D144" i="2"/>
  <c r="D143" i="2" s="1"/>
  <c r="D168" i="2"/>
  <c r="D174" i="2"/>
  <c r="D177" i="2"/>
  <c r="D184" i="2"/>
  <c r="D187" i="2"/>
  <c r="D190" i="2"/>
  <c r="D192" i="2"/>
  <c r="D204" i="2"/>
  <c r="D199" i="2" s="1"/>
  <c r="D208" i="2"/>
  <c r="D219" i="2"/>
  <c r="D224" i="2"/>
  <c r="D230" i="2"/>
  <c r="D262" i="2"/>
  <c r="D269" i="2"/>
  <c r="D268" i="2" s="1"/>
  <c r="G5" i="13"/>
  <c r="H5" i="13"/>
  <c r="I5" i="13"/>
  <c r="G6" i="13"/>
  <c r="H6" i="13"/>
  <c r="I6" i="13"/>
  <c r="D7" i="13"/>
  <c r="G7" i="13"/>
  <c r="H7" i="13"/>
  <c r="I7" i="13"/>
  <c r="D8" i="13"/>
  <c r="G8" i="13"/>
  <c r="H8" i="13"/>
  <c r="I8" i="13"/>
  <c r="D9" i="13"/>
  <c r="G9" i="13"/>
  <c r="H9" i="13"/>
  <c r="I9" i="13"/>
  <c r="G10" i="13"/>
  <c r="H10" i="13"/>
  <c r="I10" i="13"/>
  <c r="I11" i="13"/>
  <c r="G21" i="5"/>
  <c r="E31" i="5"/>
  <c r="E32" i="5"/>
  <c r="I31" i="5"/>
  <c r="I32" i="5"/>
  <c r="N42" i="4"/>
  <c r="N41" i="4" s="1"/>
  <c r="N40" i="4" s="1"/>
  <c r="N39" i="4" s="1"/>
  <c r="N47" i="4"/>
  <c r="N46" i="4" s="1"/>
  <c r="N45" i="4" s="1"/>
  <c r="N48" i="4"/>
  <c r="N25" i="4"/>
  <c r="N23" i="4" s="1"/>
  <c r="N22" i="4" s="1"/>
  <c r="N28" i="4"/>
  <c r="N27" i="4" s="1"/>
  <c r="N26" i="4" s="1"/>
  <c r="N35" i="4"/>
  <c r="N34" i="4"/>
  <c r="N37" i="4"/>
  <c r="N36" i="4" s="1"/>
  <c r="N32" i="4"/>
  <c r="N31" i="4" s="1"/>
  <c r="N33" i="4"/>
  <c r="G31" i="5"/>
  <c r="F31" i="5"/>
  <c r="I276" i="2"/>
  <c r="I61" i="2"/>
  <c r="K46" i="4"/>
  <c r="K45" i="4" s="1"/>
  <c r="K41" i="4"/>
  <c r="K40" i="4" s="1"/>
  <c r="K39" i="4" s="1"/>
  <c r="K49" i="4" s="1"/>
  <c r="L39" i="4"/>
  <c r="M39" i="4"/>
  <c r="K23" i="4"/>
  <c r="K22" i="4"/>
  <c r="K6" i="4" s="1"/>
  <c r="K27" i="4"/>
  <c r="K26" i="4"/>
  <c r="K34" i="4"/>
  <c r="K36" i="4"/>
  <c r="K31" i="4"/>
  <c r="K30" i="4"/>
  <c r="K29" i="4" s="1"/>
  <c r="L23" i="4"/>
  <c r="L22" i="4" s="1"/>
  <c r="L6" i="4" s="1"/>
  <c r="L49" i="4" s="1"/>
  <c r="L29" i="4"/>
  <c r="M29" i="4"/>
  <c r="M49" i="4" s="1"/>
  <c r="J41" i="4"/>
  <c r="J40" i="4"/>
  <c r="J39" i="4" s="1"/>
  <c r="J46" i="4"/>
  <c r="J45" i="4"/>
  <c r="J34" i="4"/>
  <c r="J30" i="4" s="1"/>
  <c r="J29" i="4" s="1"/>
  <c r="J36" i="4"/>
  <c r="J31" i="4"/>
  <c r="J23" i="4"/>
  <c r="J22" i="4" s="1"/>
  <c r="J6" i="4" s="1"/>
  <c r="J27" i="4"/>
  <c r="J26" i="4" s="1"/>
  <c r="N43" i="4"/>
  <c r="H31" i="5"/>
  <c r="H73" i="2"/>
  <c r="H87" i="2"/>
  <c r="H150" i="2"/>
  <c r="H153" i="2"/>
  <c r="H159" i="2"/>
  <c r="H164" i="2"/>
  <c r="H173" i="2"/>
  <c r="H176" i="2"/>
  <c r="H179" i="2"/>
  <c r="H180" i="2"/>
  <c r="H186" i="2"/>
  <c r="H189" i="2"/>
  <c r="H194" i="2"/>
  <c r="H195" i="2"/>
  <c r="H198" i="2"/>
  <c r="H212" i="2"/>
  <c r="I212" i="2" s="1"/>
  <c r="I211" i="2" s="1"/>
  <c r="H213" i="2"/>
  <c r="I46" i="4"/>
  <c r="I45" i="4"/>
  <c r="Q6" i="4"/>
  <c r="O6" i="4"/>
  <c r="R6" i="4" s="1"/>
  <c r="I31" i="4"/>
  <c r="I30" i="4" s="1"/>
  <c r="I29" i="4" s="1"/>
  <c r="I27" i="4"/>
  <c r="G28" i="5"/>
  <c r="G33" i="5" s="1"/>
  <c r="I28" i="5"/>
  <c r="I33" i="5" s="1"/>
  <c r="J21" i="5"/>
  <c r="C77" i="7"/>
  <c r="C44" i="7"/>
  <c r="C21" i="7"/>
  <c r="P6" i="4"/>
  <c r="G46" i="4"/>
  <c r="G45" i="4"/>
  <c r="G41" i="4"/>
  <c r="G40" i="4"/>
  <c r="G36" i="4"/>
  <c r="G34" i="4"/>
  <c r="G29" i="4"/>
  <c r="G27" i="4"/>
  <c r="G26" i="4" s="1"/>
  <c r="G6" i="4" s="1"/>
  <c r="F27" i="4"/>
  <c r="F26" i="4"/>
  <c r="G23" i="4"/>
  <c r="I41" i="4"/>
  <c r="I40" i="4" s="1"/>
  <c r="I39" i="4" s="1"/>
  <c r="I52" i="4" s="1"/>
  <c r="I36" i="4"/>
  <c r="I34" i="4"/>
  <c r="I26" i="4"/>
  <c r="I23" i="4"/>
  <c r="I22" i="4" s="1"/>
  <c r="I6" i="4" s="1"/>
  <c r="N10" i="5"/>
  <c r="C64" i="7"/>
  <c r="C8" i="8"/>
  <c r="C7" i="8"/>
  <c r="C6" i="8"/>
  <c r="F21" i="8"/>
  <c r="F1" i="8"/>
  <c r="C11" i="8"/>
  <c r="C12" i="8"/>
  <c r="C14" i="8"/>
  <c r="C10" i="8"/>
  <c r="C9" i="8"/>
  <c r="C5" i="8"/>
  <c r="C3" i="8"/>
  <c r="C41" i="4"/>
  <c r="E40" i="4"/>
  <c r="F40" i="4"/>
  <c r="S11" i="5"/>
  <c r="T11" i="5"/>
  <c r="S12" i="5"/>
  <c r="S13" i="5"/>
  <c r="I72" i="4"/>
  <c r="I70" i="4"/>
  <c r="I69" i="4"/>
  <c r="I67" i="4"/>
  <c r="I64" i="4"/>
  <c r="I62" i="4" s="1"/>
  <c r="I76" i="4" s="1"/>
  <c r="D41" i="4"/>
  <c r="D40" i="4" s="1"/>
  <c r="C40" i="4"/>
  <c r="F36" i="4"/>
  <c r="E36" i="4"/>
  <c r="D36" i="4"/>
  <c r="C36" i="4"/>
  <c r="F34" i="4"/>
  <c r="E34" i="4"/>
  <c r="D34" i="4"/>
  <c r="C34" i="4"/>
  <c r="C31" i="4"/>
  <c r="C30" i="4" s="1"/>
  <c r="C29" i="4" s="1"/>
  <c r="F31" i="4"/>
  <c r="F30" i="4" s="1"/>
  <c r="F29" i="4" s="1"/>
  <c r="E31" i="4"/>
  <c r="E30" i="4" s="1"/>
  <c r="E29" i="4" s="1"/>
  <c r="D31" i="4"/>
  <c r="D30" i="4" s="1"/>
  <c r="D29" i="4" s="1"/>
  <c r="E27" i="4"/>
  <c r="E26" i="4" s="1"/>
  <c r="D27" i="4"/>
  <c r="D26" i="4"/>
  <c r="C27" i="4"/>
  <c r="C26" i="4" s="1"/>
  <c r="F23" i="4"/>
  <c r="F22" i="4"/>
  <c r="F6" i="4" s="1"/>
  <c r="E23" i="4"/>
  <c r="E22" i="4" s="1"/>
  <c r="D23" i="4"/>
  <c r="D22" i="4" s="1"/>
  <c r="D6" i="4" s="1"/>
  <c r="C23" i="4"/>
  <c r="C22" i="4" s="1"/>
  <c r="C45" i="7"/>
  <c r="C28" i="12"/>
  <c r="C27" i="12"/>
  <c r="C22" i="12"/>
  <c r="C16" i="12"/>
  <c r="C19" i="12"/>
  <c r="C15" i="12"/>
  <c r="C12" i="12"/>
  <c r="C11" i="12"/>
  <c r="C8" i="12"/>
  <c r="C7" i="12"/>
  <c r="C31" i="12"/>
  <c r="C26" i="10"/>
  <c r="C21" i="12"/>
  <c r="C6" i="12"/>
  <c r="C14" i="12"/>
  <c r="C56" i="7"/>
  <c r="E9" i="9"/>
  <c r="E3" i="9"/>
  <c r="C7" i="7"/>
  <c r="F42" i="5"/>
  <c r="F43" i="5" s="1"/>
  <c r="E39" i="5"/>
  <c r="I42" i="5"/>
  <c r="I43" i="5" s="1"/>
  <c r="C25" i="7"/>
  <c r="C3" i="7"/>
  <c r="C8" i="7"/>
  <c r="C9" i="7"/>
  <c r="E88" i="7"/>
  <c r="C16" i="7"/>
  <c r="C22" i="7"/>
  <c r="J11" i="5"/>
  <c r="C4" i="7"/>
  <c r="C6" i="7"/>
  <c r="G101" i="7"/>
  <c r="H101" i="7"/>
  <c r="G94" i="7"/>
  <c r="H94" i="7"/>
  <c r="G93" i="7"/>
  <c r="H93" i="7"/>
  <c r="G92" i="7"/>
  <c r="H92" i="7"/>
  <c r="G91" i="7"/>
  <c r="H91" i="7"/>
  <c r="C2" i="7"/>
  <c r="E4" i="7"/>
  <c r="G115" i="7"/>
  <c r="G109" i="7"/>
  <c r="H109" i="7"/>
  <c r="F89" i="7"/>
  <c r="G89" i="7"/>
  <c r="H89" i="7"/>
  <c r="F88" i="7"/>
  <c r="G88" i="7"/>
  <c r="H88" i="7"/>
  <c r="C117" i="7"/>
  <c r="C118" i="7"/>
  <c r="C126" i="7"/>
  <c r="E126" i="7"/>
  <c r="E131" i="7"/>
  <c r="E123" i="7"/>
  <c r="C24" i="7"/>
  <c r="E45" i="5"/>
  <c r="P42" i="5"/>
  <c r="O42" i="5"/>
  <c r="O32" i="5"/>
  <c r="P32" i="5"/>
  <c r="O28" i="5"/>
  <c r="P28" i="5"/>
  <c r="N42" i="5"/>
  <c r="N28" i="5"/>
  <c r="M28" i="5"/>
  <c r="M18" i="5"/>
  <c r="M33" i="5"/>
  <c r="K51" i="5"/>
  <c r="H42" i="5"/>
  <c r="H43" i="5" s="1"/>
  <c r="E42" i="5"/>
  <c r="E43" i="5" s="1"/>
  <c r="D28" i="5"/>
  <c r="P17" i="5"/>
  <c r="P16" i="5"/>
  <c r="C17" i="7"/>
  <c r="P15" i="5"/>
  <c r="P14" i="5"/>
  <c r="P13" i="5"/>
  <c r="P12" i="5"/>
  <c r="P18" i="5"/>
  <c r="C15" i="7"/>
  <c r="D18" i="2"/>
  <c r="L28" i="5"/>
  <c r="P43" i="5"/>
  <c r="O43" i="5"/>
  <c r="N43" i="5"/>
  <c r="M42" i="5"/>
  <c r="M43" i="5"/>
  <c r="M51" i="5"/>
  <c r="L42" i="5"/>
  <c r="L43" i="5"/>
  <c r="N32" i="5"/>
  <c r="G32" i="5"/>
  <c r="F32" i="5"/>
  <c r="C119" i="7"/>
  <c r="C127" i="7"/>
  <c r="C121" i="7"/>
  <c r="C129" i="7"/>
  <c r="E129" i="7"/>
  <c r="D129" i="7"/>
  <c r="C120" i="7"/>
  <c r="C128" i="7"/>
  <c r="C123" i="7"/>
  <c r="C122" i="7"/>
  <c r="C130" i="7"/>
  <c r="E130" i="7"/>
  <c r="C131" i="7"/>
  <c r="C13" i="7"/>
  <c r="D18" i="5"/>
  <c r="C26" i="7"/>
  <c r="C133" i="7"/>
  <c r="D126" i="7"/>
  <c r="D131" i="7"/>
  <c r="B138" i="7"/>
  <c r="C13" i="8"/>
  <c r="C80" i="7"/>
  <c r="C81" i="7"/>
  <c r="P33" i="5"/>
  <c r="P51" i="5"/>
  <c r="N18" i="5"/>
  <c r="N33" i="5"/>
  <c r="N51" i="5"/>
  <c r="G39" i="4"/>
  <c r="J13" i="5"/>
  <c r="C18" i="7"/>
  <c r="C15" i="8"/>
  <c r="F17" i="8"/>
  <c r="J12" i="5"/>
  <c r="O18" i="5"/>
  <c r="O33" i="5"/>
  <c r="O51" i="5"/>
  <c r="F102" i="7"/>
  <c r="G102" i="7"/>
  <c r="H102" i="7"/>
  <c r="E128" i="7"/>
  <c r="D128" i="7"/>
  <c r="C12" i="7"/>
  <c r="F22" i="8"/>
  <c r="H32" i="5"/>
  <c r="J31" i="5"/>
  <c r="J32" i="5"/>
  <c r="D130" i="7"/>
  <c r="J16" i="5"/>
  <c r="C20" i="7"/>
  <c r="C14" i="7"/>
  <c r="C19" i="7"/>
  <c r="C23" i="7"/>
  <c r="C49" i="7"/>
  <c r="C2" i="8" s="1"/>
  <c r="F18" i="8" s="1"/>
  <c r="I93" i="7"/>
  <c r="I94" i="7"/>
  <c r="I92" i="7"/>
  <c r="I101" i="7"/>
  <c r="I91" i="7"/>
  <c r="E127" i="7"/>
  <c r="D127" i="7"/>
  <c r="L18" i="5"/>
  <c r="L33" i="5"/>
  <c r="L51" i="5"/>
  <c r="J14" i="5"/>
  <c r="J15" i="5"/>
  <c r="J18" i="5"/>
  <c r="I75" i="2" l="1"/>
  <c r="I74" i="2" s="1"/>
  <c r="I72" i="2" s="1"/>
  <c r="D142" i="2"/>
  <c r="D141" i="2" s="1"/>
  <c r="I168" i="2"/>
  <c r="I167" i="2" s="1"/>
  <c r="I166" i="2" s="1"/>
  <c r="I165" i="2" s="1"/>
  <c r="F142" i="2"/>
  <c r="I154" i="2"/>
  <c r="I147" i="2" s="1"/>
  <c r="I142" i="2" s="1"/>
  <c r="I141" i="2" s="1"/>
  <c r="F97" i="2"/>
  <c r="F83" i="2" s="1"/>
  <c r="F30" i="2"/>
  <c r="F5" i="2" s="1"/>
  <c r="D97" i="2"/>
  <c r="F167" i="2"/>
  <c r="F166" i="2" s="1"/>
  <c r="F165" i="2" s="1"/>
  <c r="I86" i="2"/>
  <c r="I85" i="2" s="1"/>
  <c r="D85" i="2"/>
  <c r="D84" i="2" s="1"/>
  <c r="I57" i="2"/>
  <c r="I56" i="2" s="1"/>
  <c r="I33" i="2"/>
  <c r="D31" i="2"/>
  <c r="I260" i="2"/>
  <c r="I259" i="2" s="1"/>
  <c r="E207" i="2"/>
  <c r="E197" i="2" s="1"/>
  <c r="E196" i="2" s="1"/>
  <c r="D207" i="2"/>
  <c r="D257" i="2"/>
  <c r="D256" i="2" s="1"/>
  <c r="D255" i="2" s="1"/>
  <c r="H257" i="2"/>
  <c r="H256" i="2" s="1"/>
  <c r="H255" i="2" s="1"/>
  <c r="F257" i="2"/>
  <c r="F256" i="2" s="1"/>
  <c r="F255" i="2" s="1"/>
  <c r="G257" i="2"/>
  <c r="G256" i="2" s="1"/>
  <c r="G255" i="2" s="1"/>
  <c r="E257" i="2"/>
  <c r="E256" i="2" s="1"/>
  <c r="E255" i="2" s="1"/>
  <c r="F162" i="2"/>
  <c r="F161" i="2" s="1"/>
  <c r="F160" i="2" s="1"/>
  <c r="D39" i="2"/>
  <c r="H211" i="2"/>
  <c r="H207" i="2" s="1"/>
  <c r="H197" i="2" s="1"/>
  <c r="H196" i="2" s="1"/>
  <c r="I207" i="2"/>
  <c r="I197" i="2" s="1"/>
  <c r="I196" i="2" s="1"/>
  <c r="F208" i="2"/>
  <c r="F207" i="2" s="1"/>
  <c r="F197" i="2" s="1"/>
  <c r="F196" i="2" s="1"/>
  <c r="C6" i="4"/>
  <c r="N30" i="4"/>
  <c r="N29" i="4" s="1"/>
  <c r="I68" i="4"/>
  <c r="I73" i="4" s="1"/>
  <c r="I49" i="4"/>
  <c r="J52" i="4"/>
  <c r="J49" i="4"/>
  <c r="E6" i="4"/>
  <c r="C50" i="7"/>
  <c r="D11" i="7"/>
  <c r="N6" i="4"/>
  <c r="N49" i="4" s="1"/>
  <c r="C82" i="7"/>
  <c r="I248" i="2"/>
  <c r="H248" i="2"/>
  <c r="D116" i="2"/>
  <c r="F248" i="2"/>
  <c r="E236" i="2"/>
  <c r="E235" i="2" s="1"/>
  <c r="E234" i="2" s="1"/>
  <c r="H236" i="2"/>
  <c r="G248" i="2"/>
  <c r="G236" i="2"/>
  <c r="D244" i="2"/>
  <c r="I238" i="2"/>
  <c r="I237" i="2" s="1"/>
  <c r="F240" i="2"/>
  <c r="D11" i="2"/>
  <c r="D8" i="2"/>
  <c r="D52" i="2"/>
  <c r="D51" i="2" s="1"/>
  <c r="D240" i="2"/>
  <c r="I120" i="2"/>
  <c r="D23" i="2"/>
  <c r="F237" i="2"/>
  <c r="I246" i="2"/>
  <c r="F244" i="2"/>
  <c r="I245" i="2"/>
  <c r="I242" i="2"/>
  <c r="G51" i="5"/>
  <c r="I51" i="5"/>
  <c r="J42" i="5"/>
  <c r="J43" i="5" s="1"/>
  <c r="J51" i="5" s="1"/>
  <c r="H51" i="5"/>
  <c r="I94" i="2"/>
  <c r="I92" i="2" s="1"/>
  <c r="I89" i="2"/>
  <c r="I88" i="2" s="1"/>
  <c r="F33" i="5"/>
  <c r="F51" i="5" s="1"/>
  <c r="E28" i="5"/>
  <c r="E33" i="5" s="1"/>
  <c r="E51" i="5" s="1"/>
  <c r="I241" i="2"/>
  <c r="E183" i="2"/>
  <c r="E182" i="2" s="1"/>
  <c r="E181" i="2" s="1"/>
  <c r="D124" i="2"/>
  <c r="G167" i="2"/>
  <c r="G166" i="2" s="1"/>
  <c r="G165" i="2" s="1"/>
  <c r="E115" i="2"/>
  <c r="D120" i="2"/>
  <c r="G56" i="2"/>
  <c r="H97" i="2"/>
  <c r="H56" i="2"/>
  <c r="G84" i="2"/>
  <c r="E217" i="2"/>
  <c r="E215" i="2" s="1"/>
  <c r="G183" i="2"/>
  <c r="G182" i="2" s="1"/>
  <c r="G181" i="2" s="1"/>
  <c r="I23" i="2"/>
  <c r="H167" i="2"/>
  <c r="H166" i="2" s="1"/>
  <c r="H165" i="2" s="1"/>
  <c r="G7" i="2"/>
  <c r="I104" i="2"/>
  <c r="I97" i="2" s="1"/>
  <c r="H84" i="2"/>
  <c r="H7" i="2"/>
  <c r="I52" i="2"/>
  <c r="I51" i="2" s="1"/>
  <c r="D167" i="2"/>
  <c r="D166" i="2" s="1"/>
  <c r="D165" i="2" s="1"/>
  <c r="F183" i="2"/>
  <c r="F182" i="2" s="1"/>
  <c r="F181" i="2" s="1"/>
  <c r="I68" i="2"/>
  <c r="I67" i="2" s="1"/>
  <c r="I65" i="2" s="1"/>
  <c r="H183" i="2"/>
  <c r="H182" i="2" s="1"/>
  <c r="H181" i="2" s="1"/>
  <c r="G30" i="2"/>
  <c r="E30" i="2"/>
  <c r="I224" i="2"/>
  <c r="H30" i="2"/>
  <c r="G97" i="2"/>
  <c r="E56" i="2"/>
  <c r="H129" i="2"/>
  <c r="D217" i="2"/>
  <c r="D215" i="2" s="1"/>
  <c r="D129" i="2"/>
  <c r="H217" i="2"/>
  <c r="H215" i="2" s="1"/>
  <c r="G217" i="2"/>
  <c r="G215" i="2" s="1"/>
  <c r="F217" i="2"/>
  <c r="F215" i="2" s="1"/>
  <c r="I124" i="2"/>
  <c r="I136" i="2"/>
  <c r="I129" i="2" s="1"/>
  <c r="I28" i="2"/>
  <c r="I27" i="2" s="1"/>
  <c r="H115" i="2"/>
  <c r="G115" i="2"/>
  <c r="D183" i="2"/>
  <c r="D182" i="2" s="1"/>
  <c r="D181" i="2" s="1"/>
  <c r="G129" i="2"/>
  <c r="F129" i="2"/>
  <c r="D46" i="2"/>
  <c r="H147" i="2"/>
  <c r="H142" i="2" s="1"/>
  <c r="H141" i="2" s="1"/>
  <c r="G147" i="2"/>
  <c r="G142" i="2" s="1"/>
  <c r="G141" i="2" s="1"/>
  <c r="I35" i="2"/>
  <c r="D197" i="2"/>
  <c r="D196" i="2" s="1"/>
  <c r="F115" i="2"/>
  <c r="E167" i="2"/>
  <c r="E166" i="2" s="1"/>
  <c r="E165" i="2" s="1"/>
  <c r="E97" i="2"/>
  <c r="I116" i="2"/>
  <c r="I262" i="2"/>
  <c r="I46" i="2"/>
  <c r="E147" i="2"/>
  <c r="E142" i="2" s="1"/>
  <c r="E141" i="2" s="1"/>
  <c r="E129" i="2"/>
  <c r="E84" i="2"/>
  <c r="E7" i="2"/>
  <c r="I230" i="2"/>
  <c r="I183" i="2"/>
  <c r="I182" i="2" s="1"/>
  <c r="I181" i="2" s="1"/>
  <c r="G197" i="2"/>
  <c r="G196" i="2" s="1"/>
  <c r="I11" i="2"/>
  <c r="I217" i="2" l="1"/>
  <c r="D83" i="2"/>
  <c r="F141" i="2"/>
  <c r="I31" i="2"/>
  <c r="I30" i="2" s="1"/>
  <c r="I215" i="2"/>
  <c r="I84" i="2"/>
  <c r="I83" i="2" s="1"/>
  <c r="I81" i="2" s="1"/>
  <c r="D7" i="2"/>
  <c r="D30" i="2"/>
  <c r="I257" i="2"/>
  <c r="I256" i="2" s="1"/>
  <c r="I255" i="2" s="1"/>
  <c r="I277" i="2" s="1"/>
  <c r="I283" i="2" s="1"/>
  <c r="I244" i="2"/>
  <c r="F16" i="8"/>
  <c r="C51" i="7"/>
  <c r="D84" i="7"/>
  <c r="G214" i="2"/>
  <c r="D214" i="2"/>
  <c r="E214" i="2"/>
  <c r="H214" i="2"/>
  <c r="F214" i="2"/>
  <c r="H235" i="2"/>
  <c r="H234" i="2" s="1"/>
  <c r="I240" i="2"/>
  <c r="D236" i="2"/>
  <c r="D235" i="2" s="1"/>
  <c r="D234" i="2" s="1"/>
  <c r="G235" i="2"/>
  <c r="G234" i="2" s="1"/>
  <c r="F81" i="2"/>
  <c r="F236" i="2"/>
  <c r="F235" i="2" s="1"/>
  <c r="F234" i="2" s="1"/>
  <c r="G5" i="2"/>
  <c r="D115" i="2"/>
  <c r="D114" i="2" s="1"/>
  <c r="D113" i="2" s="1"/>
  <c r="E5" i="2"/>
  <c r="E114" i="2"/>
  <c r="E113" i="2" s="1"/>
  <c r="I115" i="2"/>
  <c r="I114" i="2" s="1"/>
  <c r="I113" i="2" s="1"/>
  <c r="G114" i="2"/>
  <c r="G113" i="2" s="1"/>
  <c r="H5" i="2"/>
  <c r="G83" i="2"/>
  <c r="G81" i="2" s="1"/>
  <c r="E83" i="2"/>
  <c r="E81" i="2" s="1"/>
  <c r="H83" i="2"/>
  <c r="H81" i="2" s="1"/>
  <c r="I7" i="2"/>
  <c r="H114" i="2"/>
  <c r="H113" i="2" s="1"/>
  <c r="F114" i="2"/>
  <c r="F113" i="2" s="1"/>
  <c r="D5" i="2" l="1"/>
  <c r="J6" i="2" s="1"/>
  <c r="I236" i="2"/>
  <c r="I235" i="2" s="1"/>
  <c r="I234" i="2" s="1"/>
  <c r="E277" i="2"/>
  <c r="I214" i="2"/>
  <c r="G277" i="2"/>
  <c r="F277" i="2"/>
  <c r="H277" i="2"/>
  <c r="I5" i="2"/>
  <c r="D81" i="2"/>
  <c r="J115" i="2"/>
  <c r="D277" i="2" l="1"/>
  <c r="D49" i="7"/>
  <c r="C52" i="4" l="1"/>
  <c r="I24" i="4"/>
  <c r="D52" i="4"/>
  <c r="D45" i="4"/>
  <c r="D39" i="4"/>
  <c r="D49" i="4"/>
  <c r="D46" i="4"/>
  <c r="F52" i="4"/>
  <c r="F46" i="4"/>
  <c r="F45" i="4"/>
  <c r="F39" i="4"/>
  <c r="F49" i="4"/>
  <c r="E49" i="4"/>
  <c r="E46" i="4"/>
  <c r="E45" i="4"/>
  <c r="E39" i="4"/>
  <c r="E52" i="4"/>
  <c r="C45" i="4"/>
  <c r="C39" i="4"/>
  <c r="C49" i="4"/>
  <c r="C46" i="4"/>
</calcChain>
</file>

<file path=xl/comments1.xml><?xml version="1.0" encoding="utf-8"?>
<comments xmlns="http://schemas.openxmlformats.org/spreadsheetml/2006/main">
  <authors>
    <author>GAD Principal</author>
    <author>usuario</author>
    <author>USUARIO</author>
    <author>COMPUSTORE</author>
  </authors>
  <commentList>
    <comment ref="O6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PRESUPUESTO TOAL MINISTERIO DE FINANZAS
</t>
        </r>
      </text>
    </comment>
    <comment ref="J2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K2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Convenio MIES monto basado en el convenio Atencion domiciliaria al adulto mayor 
año 2021</t>
        </r>
      </text>
    </comment>
    <comment ref="K3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Convenio MIES monto basado en el convenio Atencion domiciliaria al adulto mayor 
año 2021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PREFECTURA DEL AZUAY 2021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PREFECTURA DEL AZUAY 2021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PREFECTURA DEL AZUAY 2021
</t>
        </r>
      </text>
    </comment>
    <comment ref="J37" authorId="2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IVA 2021 y valor pendiente por cobrar 
</t>
        </r>
      </text>
    </comment>
    <comment ref="K37" authorId="2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IVA 2021 y valor pendiente por cobrar 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ALICUOTA MES DE DICIEBRE 2022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ALICUOTA MES DE DICIEBRE 2022
</t>
        </r>
      </text>
    </comment>
    <comment ref="J51" authorId="3" shapeId="0">
      <text>
        <r>
          <rPr>
            <b/>
            <sz val="9"/>
            <color indexed="81"/>
            <rFont val="Tahoma"/>
            <family val="2"/>
          </rPr>
          <t>7793.90 de anticipos de siembra d eplantas MAE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GADPrincipal</author>
    <author>GAD Principal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</rPr>
          <t>GADPrincipal:</t>
        </r>
        <r>
          <rPr>
            <sz val="9"/>
            <color indexed="81"/>
            <rFont val="Tahoma"/>
            <family val="2"/>
          </rPr>
          <t xml:space="preserve">
PREFECTURA PARA PRINCIPAL EJECUCIÓN</t>
        </r>
      </text>
    </comment>
    <comment ref="D110" authorId="1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PREFECTURA DEL AZUAY 2021
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</rPr>
          <t>GADPrincipal:</t>
        </r>
        <r>
          <rPr>
            <sz val="9"/>
            <color indexed="81"/>
            <rFont val="Tahoma"/>
            <family val="2"/>
          </rPr>
          <t xml:space="preserve">
APORTE GAD
</t>
        </r>
      </text>
    </comment>
    <comment ref="B193" authorId="0" shapeId="0">
      <text>
        <r>
          <rPr>
            <b/>
            <sz val="9"/>
            <color indexed="81"/>
            <rFont val="Tahoma"/>
            <family val="2"/>
          </rPr>
          <t>GADPrincipal:</t>
        </r>
        <r>
          <rPr>
            <sz val="9"/>
            <color indexed="81"/>
            <rFont val="Tahoma"/>
            <family val="2"/>
          </rPr>
          <t xml:space="preserve">
CRUZ DE MISIÓN - CABAÑAS DE CELEL ASADEROS Y BAÑOS
</t>
        </r>
      </text>
    </comment>
    <comment ref="B205" authorId="0" shapeId="0">
      <text>
        <r>
          <rPr>
            <b/>
            <sz val="9"/>
            <color indexed="81"/>
            <rFont val="Tahoma"/>
            <family val="2"/>
          </rPr>
          <t>GADPrincipal:</t>
        </r>
        <r>
          <rPr>
            <sz val="9"/>
            <color indexed="81"/>
            <rFont val="Tahoma"/>
            <family val="2"/>
          </rPr>
          <t xml:space="preserve">
REALIZACIÓN DE LA CUBIERTA DEL POLIDEPORTIVO
</t>
        </r>
      </text>
    </comment>
    <comment ref="D205" authorId="1" shapeId="0">
      <text>
        <r>
          <rPr>
            <b/>
            <sz val="9"/>
            <color indexed="81"/>
            <rFont val="Tahoma"/>
            <family val="2"/>
          </rPr>
          <t xml:space="preserve">GAD PRINCIPAL
</t>
        </r>
        <r>
          <rPr>
            <sz val="9"/>
            <color indexed="81"/>
            <rFont val="Tahoma"/>
            <family val="2"/>
          </rPr>
          <t xml:space="preserve">Señalizacion vial.
Materiales para cancha deportiva Centro. 
</t>
        </r>
      </text>
    </comment>
    <comment ref="D228" authorId="1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PRESUPUESTO PARTICIPATIVO PREFECTURA DEL AZUAY 
$8813,46
GAD PARROQUIAL $2000,00
</t>
        </r>
      </text>
    </comment>
  </commentList>
</comments>
</file>

<file path=xl/comments3.xml><?xml version="1.0" encoding="utf-8"?>
<comments xmlns="http://schemas.openxmlformats.org/spreadsheetml/2006/main">
  <authors>
    <author>FEPP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FEPP:</t>
        </r>
        <r>
          <rPr>
            <sz val="9"/>
            <color indexed="81"/>
            <rFont val="Tahoma"/>
            <family val="2"/>
          </rPr>
          <t xml:space="preserve">
Espaldones o Muro en sector alizal 1.50*0.30*40
Alcantarillado sector Guacamullo en convenio con el municipio
Alquiler Maquinaria y equipos
Muro cancha El Remate
Mejoramiento graderio en Celel tras la Iglesia
Mano de obra
Materiales de construcción
Pago de predio
Ampliación Edificio parroquial
</t>
        </r>
      </text>
    </comment>
  </commentList>
</comments>
</file>

<file path=xl/sharedStrings.xml><?xml version="1.0" encoding="utf-8"?>
<sst xmlns="http://schemas.openxmlformats.org/spreadsheetml/2006/main" count="956" uniqueCount="617">
  <si>
    <t>T O T A L:</t>
  </si>
  <si>
    <t>SALDO EN CAJA Y BANCOS</t>
  </si>
  <si>
    <t>SALDOS DISPONIBLES</t>
  </si>
  <si>
    <t>INGRESO DE FINANCIAMIENTO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</si>
  <si>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</si>
  <si>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</si>
  <si>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</si>
  <si>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</si>
  <si>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</si>
  <si>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</si>
  <si>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</si>
  <si>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</si>
  <si>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</si>
  <si>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</si>
  <si>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</si>
  <si>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</si>
  <si>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</si>
  <si>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</si>
  <si>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</si>
  <si>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</si>
  <si>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</si>
  <si>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</si>
  <si>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</si>
  <si>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</si>
  <si>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</si>
  <si>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</si>
  <si>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</si>
  <si>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</si>
  <si>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</si>
  <si>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</si>
  <si>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</si>
  <si>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</si>
  <si>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</si>
  <si>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</si>
  <si>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</si>
  <si>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</si>
  <si>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</si>
  <si>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</si>
  <si>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</si>
  <si>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</si>
  <si>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</si>
  <si>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</si>
  <si>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</si>
  <si>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</si>
  <si>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</si>
  <si>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</si>
  <si>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</si>
  <si>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</si>
  <si>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</si>
  <si>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</si>
  <si>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</si>
  <si>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</si>
  <si>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</si>
  <si>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</si>
  <si>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</si>
  <si>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</si>
  <si>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</si>
  <si>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</si>
  <si>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</si>
  <si>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</si>
  <si>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</si>
  <si>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</si>
  <si>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</si>
  <si>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</si>
  <si>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</si>
  <si>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</si>
  <si>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</si>
  <si>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</si>
  <si>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</si>
  <si>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</si>
  <si>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</si>
  <si>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</si>
  <si>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Servicios Generales</t>
  </si>
  <si>
    <t>5.3.07</t>
  </si>
  <si>
    <t>Gastos en Informática</t>
  </si>
  <si>
    <t>5.3.07.04</t>
  </si>
  <si>
    <t>5.3.08</t>
  </si>
  <si>
    <t>Bienes de Uso y Consumo Corriente</t>
  </si>
  <si>
    <t>5.3.08.02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</si>
  <si>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</si>
  <si>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</si>
  <si>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</si>
  <si>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</si>
  <si>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</si>
  <si>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</si>
  <si>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</si>
  <si>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</si>
  <si>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</si>
  <si>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</si>
  <si>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</si>
  <si>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</si>
  <si>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</si>
  <si>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</si>
  <si>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</si>
  <si>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</si>
  <si>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</si>
  <si>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7.1.06</t>
  </si>
  <si>
    <t>7.1.06.01</t>
  </si>
  <si>
    <t>7.1.06.02</t>
  </si>
  <si>
    <t>7.3</t>
  </si>
  <si>
    <t>7.3.02</t>
  </si>
  <si>
    <t>7.3.05</t>
  </si>
  <si>
    <t>7.3.06</t>
  </si>
  <si>
    <t>7.3.08</t>
  </si>
  <si>
    <t>PROGRAMA</t>
  </si>
  <si>
    <t>Bienes de Uso y Consumo de Inversión</t>
  </si>
  <si>
    <t>5.8</t>
  </si>
  <si>
    <t>5.8.01</t>
  </si>
  <si>
    <t>Impuestos</t>
  </si>
  <si>
    <t>Tasas y Contribuciones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</si>
  <si>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</si>
  <si>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</si>
  <si>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</si>
  <si>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</si>
  <si>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</si>
  <si>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</si>
  <si>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</si>
  <si>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</si>
  <si>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</si>
  <si>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</si>
  <si>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</si>
  <si>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</si>
  <si>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</si>
  <si>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</si>
  <si>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</si>
  <si>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</si>
  <si>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</si>
  <si>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</si>
  <si>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</si>
  <si>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</si>
  <si>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</si>
  <si>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</si>
  <si>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</si>
  <si>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</si>
  <si>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</si>
  <si>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</si>
  <si>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</si>
  <si>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</si>
  <si>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</si>
  <si>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</si>
  <si>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</si>
  <si>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</si>
  <si>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</si>
  <si>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</si>
  <si>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</si>
  <si>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</si>
  <si>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</si>
  <si>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</si>
  <si>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</si>
  <si>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</si>
  <si>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</si>
  <si>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</si>
  <si>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</si>
  <si>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</si>
  <si>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</si>
  <si>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</si>
  <si>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</si>
  <si>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1.8.06</t>
  </si>
  <si>
    <t>APORTES Y PARTICIPACIONES CORRIENTES DEL REGIMEN SECCIONAL AUTONOMO</t>
  </si>
  <si>
    <t>PRESIDENTE</t>
  </si>
  <si>
    <t>VOCAL 1</t>
  </si>
  <si>
    <t>VOCAL 2</t>
  </si>
  <si>
    <t>SECRETARIA TESORERA</t>
  </si>
  <si>
    <t>5.3.01.01</t>
  </si>
  <si>
    <t xml:space="preserve">FUNCION II </t>
  </si>
  <si>
    <t>TOTAL GENERAL AÑO 2012</t>
  </si>
  <si>
    <t>Edición impresión reproduccion y publicaciones</t>
  </si>
  <si>
    <t>5.3.07.02</t>
  </si>
  <si>
    <t>Arrendamiento y Licencias de Uso de Paq. Inf</t>
  </si>
  <si>
    <t>Manten y Reparacion de Equipos y sist inform.</t>
  </si>
  <si>
    <t xml:space="preserve">Seguros </t>
  </si>
  <si>
    <t>5.8.04</t>
  </si>
  <si>
    <t>Aportes y Participaciones al Sector Público</t>
  </si>
  <si>
    <t>5.8.04.06</t>
  </si>
  <si>
    <t>Para el IECE por el 0.5% las aportaciones al IESS</t>
  </si>
  <si>
    <t>7.3.08.12</t>
  </si>
  <si>
    <t>GASTOS</t>
  </si>
  <si>
    <t>CODIGO</t>
  </si>
  <si>
    <t>GOBIERNO PARROQUIAL DE PRINCIPAL</t>
  </si>
  <si>
    <t>TOTAL PRESUPUESTO GASTOS</t>
  </si>
  <si>
    <t>De Fondos de Autogestion</t>
  </si>
  <si>
    <t>PRESIDENTE DEL GOBIERNO PARROQUIAL</t>
  </si>
  <si>
    <t>1.8.01.04</t>
  </si>
  <si>
    <t>De Gobiernos Autónomos Descentralizados</t>
  </si>
  <si>
    <t>5.3.04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</si>
  <si>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</si>
  <si>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</si>
  <si>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</si>
  <si>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</si>
  <si>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</si>
  <si>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</si>
  <si>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</si>
  <si>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</si>
  <si>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</si>
  <si>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</si>
  <si>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</si>
  <si>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</si>
  <si>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</si>
  <si>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</si>
  <si>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</si>
  <si>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</si>
  <si>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</si>
  <si>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</si>
  <si>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</si>
  <si>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</si>
  <si>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</si>
  <si>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</si>
  <si>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</si>
  <si>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</si>
  <si>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</si>
  <si>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</si>
  <si>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</si>
  <si>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</si>
  <si>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</si>
  <si>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</si>
  <si>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</si>
  <si>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</si>
  <si>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</si>
  <si>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</si>
  <si>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</si>
  <si>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</si>
  <si>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</si>
  <si>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</si>
  <si>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</si>
  <si>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</si>
  <si>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</si>
  <si>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</si>
  <si>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</si>
  <si>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</si>
  <si>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</si>
  <si>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</si>
  <si>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</si>
  <si>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</si>
  <si>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</si>
  <si>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</si>
  <si>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</si>
  <si>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</si>
  <si>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</si>
  <si>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</si>
  <si>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</si>
  <si>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</si>
  <si>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</si>
  <si>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</si>
  <si>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</si>
  <si>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</si>
  <si>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</si>
  <si>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</si>
  <si>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</si>
  <si>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</si>
  <si>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</si>
  <si>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</si>
  <si>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</si>
  <si>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</si>
  <si>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</si>
  <si>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</si>
  <si>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</si>
  <si>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</si>
  <si>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</si>
  <si>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</si>
  <si>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</si>
  <si>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</si>
  <si>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</si>
  <si>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</si>
  <si>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</si>
  <si>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</si>
  <si>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</si>
  <si>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CUMPLIMIENTO DE METAS (50% CADA UNO)</t>
  </si>
  <si>
    <t>Indemnizacion por vacaciones no gozadas</t>
  </si>
  <si>
    <t>Décimo Cuarto vocales</t>
  </si>
  <si>
    <t>Arrendamiento de bienes</t>
  </si>
  <si>
    <t>Remuneraciones temporales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</si>
  <si>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</si>
  <si>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</si>
  <si>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</si>
  <si>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</si>
  <si>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</si>
  <si>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</si>
  <si>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</si>
  <si>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</si>
  <si>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</si>
  <si>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</si>
  <si>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</si>
  <si>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3.7.01.01</t>
  </si>
  <si>
    <t>De Fondos del Gobierno Central</t>
  </si>
  <si>
    <t>3.8.01.08</t>
  </si>
  <si>
    <t>Cuentas por cobrar</t>
  </si>
  <si>
    <t>De Anticipos de Fondos por Devengar</t>
  </si>
  <si>
    <t>2.08.01.01</t>
  </si>
  <si>
    <t>Del Gobierno central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</si>
  <si>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</si>
  <si>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</si>
  <si>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</si>
  <si>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</si>
  <si>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</si>
  <si>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</si>
  <si>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</si>
  <si>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Conagopare  (3%)</t>
  </si>
  <si>
    <t>7.3.08.11</t>
  </si>
  <si>
    <t>3.7.01.99</t>
  </si>
  <si>
    <t xml:space="preserve">Saldo de Fondos GAD Municipal Alcantarillado </t>
  </si>
  <si>
    <t>arriendo licencia informatico y pagina web</t>
  </si>
  <si>
    <t>Identificar y construir equipamientos y mantener espacios públicos</t>
  </si>
  <si>
    <t>EQUIPAMIENTOS</t>
  </si>
  <si>
    <t>Convenios</t>
  </si>
  <si>
    <t>Servicio de internet</t>
  </si>
  <si>
    <t>FORTALECIMIENTO ECONOMICO DE LA PARROQUIA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</si>
  <si>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</si>
  <si>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</si>
  <si>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</si>
  <si>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</si>
  <si>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</si>
  <si>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</si>
  <si>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Materiales didacticos</t>
  </si>
  <si>
    <t xml:space="preserve"> </t>
  </si>
  <si>
    <t>Vestuario, lensería, prendas de protección, accesorios para uniformes militares y policiales; y carpas (PONCHOS)</t>
  </si>
  <si>
    <t>7.3.02.05</t>
  </si>
  <si>
    <t>Insumos, bienes, materiales y suministros para la contrucción, eléctricos, plomería, carpintería,señalización víal, navegación y contra incendios (señalización de senderos en lugares turísticos).</t>
  </si>
  <si>
    <t>Insumos, bienes, materiales y suministros para la contrucción, eléctricos, plomería, carpintería,señalización víal, navegación y contra incendios (materiales de construccion para el mentenimiento vial con la tas solidaria).</t>
  </si>
  <si>
    <t xml:space="preserve">Combustibles y lubricantes </t>
  </si>
  <si>
    <t>Maquinarías y equipos (Instalación, mantenimiento y reparaciones)</t>
  </si>
  <si>
    <t>Bienes y servicios de inversión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</si>
  <si>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</si>
  <si>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</si>
  <si>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</si>
  <si>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</si>
  <si>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</si>
  <si>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</si>
  <si>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</si>
  <si>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</si>
  <si>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</si>
  <si>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</si>
  <si>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</si>
  <si>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TOTAL INVERSION</t>
  </si>
  <si>
    <t>Limpieza y mantenimiento de la Infraestructura de la Parroquia Principal</t>
  </si>
  <si>
    <t>Arrendamiento de Bienes</t>
  </si>
  <si>
    <t>Bienes de Uso y consumo de Inversión</t>
  </si>
  <si>
    <t>Insumos agrícolas</t>
  </si>
  <si>
    <t xml:space="preserve">Espacio recreativo inclusivo </t>
  </si>
  <si>
    <t>Subrogaciones</t>
  </si>
  <si>
    <t>5.1.05.12</t>
  </si>
  <si>
    <t>Subrogación</t>
  </si>
  <si>
    <t>GASTOS ESPECÍFICOS</t>
  </si>
  <si>
    <t xml:space="preserve"> INTERCAMBIO DE SABERES ANCESTRALES Y PROTECCION DE DERECHOS NIÑOS, NIÑAS, ADOLESCENTES Y PERSONAS CON DISCAPACIDAD</t>
  </si>
  <si>
    <t xml:space="preserve">PROGRAMA </t>
  </si>
  <si>
    <t>TURISMO EN PRINCIPAL</t>
  </si>
  <si>
    <t>PROYECTO:</t>
  </si>
  <si>
    <t>PLANIFICACION SECTORIAL</t>
  </si>
  <si>
    <t>PLAN DE GESTIÓN PARA LA RED VIAL</t>
  </si>
  <si>
    <t>PRODUCCION Y MANEJO DE FRUTAS PARA LA ELABORACION DE MERMELADAS</t>
  </si>
  <si>
    <t>Bienes y servicios para inversión</t>
  </si>
  <si>
    <t xml:space="preserve">Contratación de estudios, investigaciones y servicios técnicos especializados. </t>
  </si>
  <si>
    <t>ESTIMACION PROVISIONAL INGRESOS  AÑO 2018</t>
  </si>
  <si>
    <t>OTROS NO OPERACIONALES</t>
  </si>
  <si>
    <t>De Entidades del Gobierno Seccional</t>
  </si>
  <si>
    <t>2.8.10</t>
  </si>
  <si>
    <t>2.8.10.03</t>
  </si>
  <si>
    <t>Recuperación de IVA</t>
  </si>
  <si>
    <t>Honorarios contratos civiles (contadora)</t>
  </si>
  <si>
    <t>Computador de escritorio</t>
  </si>
  <si>
    <t>Vestuario lencería y prendas de protección</t>
  </si>
  <si>
    <t>Impresora chorro contínuo</t>
  </si>
  <si>
    <t>TOAL INVERSION</t>
  </si>
  <si>
    <t>PROYECTOS ESPECIFICOS</t>
  </si>
  <si>
    <t xml:space="preserve">TOTAL PROYECTOS ESPECIFICOS </t>
  </si>
  <si>
    <t>PROYECTOS PARTICIPACION CIUDADANA</t>
  </si>
  <si>
    <t>TOTAL PROYECTOS PARTICIPACION CIUDADANA</t>
  </si>
  <si>
    <t>GASTOS CORRIENTES</t>
  </si>
  <si>
    <t>GASTO DE INVERSION</t>
  </si>
  <si>
    <t>TOTAL GASTOS</t>
  </si>
  <si>
    <t>Vestuario, Lencería, Prendas de Protección; y, Accesorios para Uniformes Militares y Policiales; y, Carpas</t>
  </si>
  <si>
    <t xml:space="preserve">FORTALECIMIENTO ORGANIZATIVO </t>
  </si>
  <si>
    <t>ATENCION A GRUPO VULNERABLES</t>
  </si>
  <si>
    <t>Vestuario Lencería, prendas de protección, carpas y otros (camisetas para eventos deportivos)</t>
  </si>
  <si>
    <t>Materiales didacticos (pepelería, balones, accesorios deportivos, etc.)</t>
  </si>
  <si>
    <t>ATENCION A GRUPOS VULNERABLES</t>
  </si>
  <si>
    <t>Espacios alternativos para atención del adulto mayor.</t>
  </si>
  <si>
    <t>Actualización de estudios de infraestructura física y normativa parrroquial.</t>
  </si>
  <si>
    <t>Identificar y Construir equipamientos y mantener espacios públicos.</t>
  </si>
  <si>
    <t>Fortalecimiento de la identidad cultural de la parroquia Principal</t>
  </si>
  <si>
    <t>Acompañamiento para el fortalecimiento organizativo y fomento de la participación ciudadana en la parroquia Principal.</t>
  </si>
  <si>
    <t>IDENTIFICAR Y CONSTRUIR EQUIPAMIENTOS Y MANTENER ESPACIOS PUBLICOS</t>
  </si>
  <si>
    <t xml:space="preserve"> DISEÑO DE UN PROYECTO DE FORTALECIMIENTO PARA LAS ACTIVIDADES DE TURISMO COMUNITARIO EN PRINCIPAL</t>
  </si>
  <si>
    <t>7.3.15.15</t>
  </si>
  <si>
    <t>7.3.06.01</t>
  </si>
  <si>
    <t>ALCANTARILLADO DE CELEL</t>
  </si>
  <si>
    <t>Plantas</t>
  </si>
  <si>
    <t>CORRIENTE</t>
  </si>
  <si>
    <t>ATENCION AL ADULTO MAYOR EN ESPACIOS ALTERNATIVOS</t>
  </si>
  <si>
    <t>EQUIPOS ELECTRONICOS PARA EL GAD</t>
  </si>
  <si>
    <t>ESTIMACION DE PRESPUESTO AÑO 2019</t>
  </si>
  <si>
    <t>ASESORAMIENTO TECNICO</t>
  </si>
  <si>
    <t>CONSULTORIA ESTUDIOS ELECTRICOS PLAZOLETA REMATE GAUSAL</t>
  </si>
  <si>
    <t>FORTALECIMIENTO DE LA IDENTIDAD CULTURAL</t>
  </si>
  <si>
    <t>ESTIMACION DE INGRESOS AÑO 2019</t>
  </si>
  <si>
    <t>ACOMPAÑAMIENTO PARA FORTALECIMIENTO ORGANIZATIVO Y FOMENTO DE LA PARTICIPACIÓN CIUDADANA EN LA PARROQUIA PRINCIPAL.</t>
  </si>
  <si>
    <t>convenio GAD Municipal</t>
  </si>
  <si>
    <t>cabaña, quingo</t>
  </si>
  <si>
    <t>2 microfonos y parlante</t>
  </si>
  <si>
    <t>tasa 2018 y 2019</t>
  </si>
  <si>
    <t>cementerio, veredas, paradas y espacios publicos</t>
  </si>
  <si>
    <t>Agua potable</t>
  </si>
  <si>
    <t>Fondo de reserva</t>
  </si>
  <si>
    <t>NO APLICA</t>
  </si>
  <si>
    <t>POLITICA</t>
  </si>
  <si>
    <t>01.06.09</t>
  </si>
  <si>
    <t>01.02.08</t>
  </si>
  <si>
    <t>01.02.11</t>
  </si>
  <si>
    <t>01.05.05</t>
  </si>
  <si>
    <t>01.07.08</t>
  </si>
  <si>
    <t>01.03.01</t>
  </si>
  <si>
    <t>01.03.08</t>
  </si>
  <si>
    <t>Cuentas por cobrar (ANTICIPOS)</t>
  </si>
  <si>
    <t>no aplica</t>
  </si>
  <si>
    <t xml:space="preserve">TOTAL </t>
  </si>
  <si>
    <t>EGRESOS DE INVERSION</t>
  </si>
  <si>
    <t>Asignación presupuestaria de valores equivalentes al impuesto al valor agregado (IVA)</t>
  </si>
  <si>
    <t>Del Presupuesto General de Estado a Gobiernos Autónomos Descentralizados Parroquiales Rurales.  Por compensacion del IVA</t>
  </si>
  <si>
    <t>Sandro Castro</t>
  </si>
  <si>
    <t>Cecilia Cambizaca</t>
  </si>
  <si>
    <t>Roberto López</t>
  </si>
  <si>
    <t>Rigoberto Zúñiga</t>
  </si>
  <si>
    <t>Mario Peláez</t>
  </si>
  <si>
    <t>Vicepresidente</t>
  </si>
  <si>
    <t>VOCAL3</t>
  </si>
  <si>
    <t>Pago de predio</t>
  </si>
  <si>
    <t>Intercambio de saberes ancestrales y proteccion de derechos de NNA y personas con discapacidad.</t>
  </si>
  <si>
    <t>Espaldones o Muro en sector alizal 1.50*0.30*40</t>
  </si>
  <si>
    <t>Alcantarillado sector Guacamullo en convenio con el municipio</t>
  </si>
  <si>
    <t>Costos judiciales para legalizacipon de predios</t>
  </si>
  <si>
    <t>Gastos de financiamiento</t>
  </si>
  <si>
    <t>Muro cancha El Remate</t>
  </si>
  <si>
    <t>Mejoramiento graderio en Celel tras la Iglesia</t>
  </si>
  <si>
    <t>IMPLEMENTACION DE INFRAESTRUCTURA FISICA Y NORMATIVA PARROQUIAL (ACTUALIZACION DE ESTUDIOS)</t>
  </si>
  <si>
    <t>Mantenimiento vial</t>
  </si>
  <si>
    <t>Ampliación Edificio parroquial</t>
  </si>
  <si>
    <t>Alquiler Maquinaria y equipos</t>
  </si>
  <si>
    <t>Mano de obra</t>
  </si>
  <si>
    <t>Materiales de construcción</t>
  </si>
  <si>
    <t xml:space="preserve">INGRESOS </t>
  </si>
  <si>
    <t>GASTO CORRIENTE</t>
  </si>
  <si>
    <t>GASTO INVERSION</t>
  </si>
  <si>
    <t>ATENCION ADULTO MAYOR</t>
  </si>
  <si>
    <t>NINOS, NIÑAS Y ADOLESCENTES</t>
  </si>
  <si>
    <t>Actualización Estudios</t>
  </si>
  <si>
    <t>Infraestructura</t>
  </si>
  <si>
    <t>Producción y Manejo Frutales</t>
  </si>
  <si>
    <t>Identidad Cultural</t>
  </si>
  <si>
    <t>Turismo</t>
  </si>
  <si>
    <t>Sevicios Generales</t>
  </si>
  <si>
    <t xml:space="preserve">Ampliación y mejoramiento de infraestructura en atractivos turísticos naturales. </t>
  </si>
  <si>
    <t>Espacios alternativos para atención del adulto mayor. (Incluye computador e impresora 1.500. USD)</t>
  </si>
  <si>
    <t>7.1.05.10</t>
  </si>
  <si>
    <t>Egresos en personal para inversión</t>
  </si>
  <si>
    <t>MAYO</t>
  </si>
  <si>
    <t>FEBRERO</t>
  </si>
  <si>
    <t>SEPTIEMBRE</t>
  </si>
  <si>
    <t>JULIO</t>
  </si>
  <si>
    <t>DISTRIBUTIVO DE SUELDOS AÑO 2021</t>
  </si>
  <si>
    <t xml:space="preserve">TOTAL MEF </t>
  </si>
  <si>
    <t xml:space="preserve">GASTO CORRIENTE </t>
  </si>
  <si>
    <t>10 % GRUPOS PRIORITARIOS</t>
  </si>
  <si>
    <t>Instalación Mantenimiento y reparaciones</t>
  </si>
  <si>
    <t>Remuneraciuones unificadas</t>
  </si>
  <si>
    <t>Remuneraciones complementarias</t>
  </si>
  <si>
    <t>Decimo tercer sueldo</t>
  </si>
  <si>
    <t>Decimo cuarto sueldo</t>
  </si>
  <si>
    <t>Aporte patronal a la Seguridad Social</t>
  </si>
  <si>
    <t>Aporte patronal</t>
  </si>
  <si>
    <t>Fondos de reserva</t>
  </si>
  <si>
    <t xml:space="preserve">Insumos, bienes, materiales y suministros para la contrucción, eléctricos, plomería, carpintería,señalización víal, navegación y contra incendios </t>
  </si>
  <si>
    <t>7.3.08.13</t>
  </si>
  <si>
    <t xml:space="preserve">Repuestos y accesorios </t>
  </si>
  <si>
    <t>ALCANTARILLADO EN PRINCIPAL Y CELEL</t>
  </si>
  <si>
    <t>.</t>
  </si>
  <si>
    <t xml:space="preserve">Atencion a la poblacion adulta mayor, y personas con capacidades diferentes </t>
  </si>
  <si>
    <t>Mejoramiento de la producción Agropecuaria en la parroquia de Principal</t>
  </si>
  <si>
    <t>Cuidando nuestro patrimonio cultural y tradiciones propio de la parroquia de Principal</t>
  </si>
  <si>
    <t>TOTAL GASTO CORRIENTE</t>
  </si>
  <si>
    <t>5.8.01.04</t>
  </si>
  <si>
    <t>TECNICO PAM MIES</t>
  </si>
  <si>
    <t>Servicios personales por contrato</t>
  </si>
  <si>
    <t>7.3.02.01</t>
  </si>
  <si>
    <t>Transporte de personal</t>
  </si>
  <si>
    <t>7.3.06.13</t>
  </si>
  <si>
    <t>Capacitacion para la ciudadania en general</t>
  </si>
  <si>
    <t>7.3.08.09</t>
  </si>
  <si>
    <t>Medicamentos y productos farmaceuticos</t>
  </si>
  <si>
    <t>7.3.02.07</t>
  </si>
  <si>
    <t>Difusion, informacion y publicidad</t>
  </si>
  <si>
    <t>7.3.02.04</t>
  </si>
  <si>
    <t>Edicion, impresión, reproduccion y publicacion</t>
  </si>
  <si>
    <t>Instalacion, mantenimiento y reparacion</t>
  </si>
  <si>
    <t>Mantenimiento de areas verdes y arreglo de vias internas</t>
  </si>
  <si>
    <t>7.3.04.18</t>
  </si>
  <si>
    <t>Mantenimiento de senderos ecológicos y construcción de refugios para la reactivación del turismo comunitario responsable</t>
  </si>
  <si>
    <t>OTROS SERVICIOS COMUNALES: SERVICIOS DE OPERACIÓN RETROEXCAVADORA</t>
  </si>
  <si>
    <t>7.5</t>
  </si>
  <si>
    <t>Obras de infraestructura</t>
  </si>
  <si>
    <t>Mantenimiento de la red vial de la parroquia Principal</t>
  </si>
  <si>
    <t>84.01.08</t>
  </si>
  <si>
    <t>Bienes artisitocs y culturales</t>
  </si>
  <si>
    <t>Bienes larga diracion</t>
  </si>
  <si>
    <t>3.8.01.07</t>
  </si>
  <si>
    <t>75.01.07</t>
  </si>
  <si>
    <t xml:space="preserve">Construciones y Edificaciones </t>
  </si>
  <si>
    <t>TURISMO EN PRINCIPAL Y CELEL</t>
  </si>
  <si>
    <t>EQUIPAMIENTOS Y CONTRUCCIÓN DE LA CUBIERTA</t>
  </si>
  <si>
    <t>2.8.01.01</t>
  </si>
  <si>
    <t>5.3.01.05.</t>
  </si>
  <si>
    <t>Telecomunicaciones</t>
  </si>
  <si>
    <t>PRESUPUESTO PRORROGADO 2023</t>
  </si>
  <si>
    <t>7.3.08.14</t>
  </si>
  <si>
    <t>7.3.08.19</t>
  </si>
  <si>
    <t>Suministros para actividades agropecuarias, pesca y caza</t>
  </si>
  <si>
    <t>Insumos Quimicos y Organicos</t>
  </si>
  <si>
    <t>MEJORAMIENTO PRODUCTIVO CELEL CONVENIO 236.2022</t>
  </si>
  <si>
    <t>MEJORAMIENTO PRODUCTIVO PRINCIPAL CONVENIO 185.2022</t>
  </si>
  <si>
    <t>73.04.04</t>
  </si>
  <si>
    <t xml:space="preserve">Maquinarias y equipos </t>
  </si>
  <si>
    <t>Salarios Unificados</t>
  </si>
  <si>
    <t>7.1.01.06</t>
  </si>
  <si>
    <t>A Gobiernos Autónomos Descentralizados 1% y 2% conagopare</t>
  </si>
  <si>
    <t>Instalación, Mantenimiento y Reparación</t>
  </si>
  <si>
    <t>75.01.</t>
  </si>
  <si>
    <t>Obras de Infraestructura</t>
  </si>
  <si>
    <t>OBRAS PÚBLICAS</t>
  </si>
  <si>
    <t>5.8.01.01</t>
  </si>
  <si>
    <t>A Entidades del Presupuesto General del Estado</t>
  </si>
  <si>
    <t xml:space="preserve">Juan Suarez </t>
  </si>
  <si>
    <t>5,1,07</t>
  </si>
  <si>
    <t>Indemnizaciones</t>
  </si>
  <si>
    <t>5,1,07,,07</t>
  </si>
  <si>
    <t>Compensación por vacaciones no gozadas por cesación de funciones</t>
  </si>
  <si>
    <t>NOMBRE</t>
  </si>
  <si>
    <t>SUELDO</t>
  </si>
  <si>
    <t>VALOR A CANCELAR</t>
  </si>
  <si>
    <t>Joseline Morocho</t>
  </si>
  <si>
    <t>VACACIONES NO TOMADAS</t>
  </si>
  <si>
    <t>Ximena Castro Otavalo</t>
  </si>
  <si>
    <t xml:space="preserve">Jorge Siguenza </t>
  </si>
  <si>
    <t xml:space="preserve"> Mèlida Rivera Rìos</t>
  </si>
  <si>
    <t>Glenda Jara Zhingri</t>
  </si>
  <si>
    <t xml:space="preserve">Karen Castro </t>
  </si>
  <si>
    <t>Paul Peláez Samaniego</t>
  </si>
  <si>
    <t>1RA REFORMA</t>
  </si>
  <si>
    <t>SEGUNDA REFORMA</t>
  </si>
  <si>
    <t>CODIFICADO FINAL</t>
  </si>
  <si>
    <t>APORTES Y PARTICIPACIONES DE CAPITAL E INVERSION A LOS GOBIERNOS AUTONOMOS DESCENTRALIZADOS Y REGÍMENES ESPECIALES</t>
  </si>
  <si>
    <t>APORTES Y PARTICIPACIONES CORRIENTES A LOS GOBIERNOS AUTONOMOS DESCENTRALIZADOS Y REGÍMENES ESPECIALES</t>
  </si>
  <si>
    <t>Aporte a los Gobiernos Autónomos Descentralizados Parroquiales Rurales Parroquiales Rurales</t>
  </si>
  <si>
    <t>De Entidades de Gobiernos Autónomos Descentralizados</t>
  </si>
  <si>
    <t>De Fondos del Presupuesto General del Estado</t>
  </si>
  <si>
    <t>De Fondos de Autogestión</t>
  </si>
  <si>
    <t xml:space="preserve">Cuentas Pendientes por cobrar </t>
  </si>
  <si>
    <t>De anticipos por devengar de Ejercicios anteriores de Gobiernos Autónomos descentralizados y empresas Públicas Compra de vienesy/o servicios.</t>
  </si>
  <si>
    <t>TERCERA REFORMA</t>
  </si>
  <si>
    <t>PRESUPUESTO INICIAL</t>
  </si>
  <si>
    <t>1RA. REFORMA</t>
  </si>
  <si>
    <t>2DA. REFORMA</t>
  </si>
  <si>
    <t>3RA. REFORMA</t>
  </si>
  <si>
    <t>4TA REFORMA</t>
  </si>
  <si>
    <t>Insumos, Materiales y Suministros para Construcción, Electricidad, Plomería, Carpintería, Señalización Vial, Navegación, Contra Incendios y Placas (materiales de construccion para el mentenimiento vial con la tas solidaria).</t>
  </si>
  <si>
    <t>Vehiculo (arrendamiento)</t>
  </si>
  <si>
    <t>Los niños, niñas, adolescentesy jóvenes expresando nuestros derechos a través de las artes</t>
  </si>
  <si>
    <t>Capacitacion para la ciudadania en general (Mecanicade Motos y Banda Rítmica)</t>
  </si>
  <si>
    <t>Espectáculos culturales y sociales por fiesta de la manzana y aniversario</t>
  </si>
  <si>
    <t xml:space="preserve">Mejoramiento Integral de la infraestructura urbana de la parroquia de Principal </t>
  </si>
  <si>
    <t>7.3.14.06</t>
  </si>
  <si>
    <t>Herramientas y equipos menores</t>
  </si>
  <si>
    <t>7.3.14</t>
  </si>
  <si>
    <t>Bienes Muebles no depreciables</t>
  </si>
  <si>
    <t>7,3,05</t>
  </si>
  <si>
    <t>7.3.05.05</t>
  </si>
  <si>
    <t>BIENES Y SERVCIOS DE INVERSION</t>
  </si>
  <si>
    <t>8.4.01</t>
  </si>
  <si>
    <t>8.4</t>
  </si>
  <si>
    <t>Bienes Muebles</t>
  </si>
  <si>
    <t>EGRESOS DE CAPITAL</t>
  </si>
  <si>
    <t xml:space="preserve">Arrendamiento de bienes </t>
  </si>
  <si>
    <t>Transferencias o donaciones Corrientes al Sector Público</t>
  </si>
  <si>
    <t>7.3.02.49</t>
  </si>
  <si>
    <t>Eventos públicos promocionales</t>
  </si>
  <si>
    <t>MANTENIMIENTO DE ESPACIOS VERDES E INFRAESTRUCTURA FISICA PARROQUIAL</t>
  </si>
  <si>
    <t>Hugo Rocano</t>
  </si>
  <si>
    <t>Operador maquinaria</t>
  </si>
  <si>
    <t>Sercvicios Generales</t>
  </si>
  <si>
    <t>Herramientas (Mantenimiento y Reparación)</t>
  </si>
  <si>
    <t>7,3,04,06</t>
  </si>
  <si>
    <t>Instalación, Mantenimineto y reparación</t>
  </si>
  <si>
    <t>7.3.</t>
  </si>
  <si>
    <t>Combustibles y Lubricantes</t>
  </si>
  <si>
    <t>Sra. Ximena Castro                                                                          Paul Peláez</t>
  </si>
  <si>
    <t>PRESIDENTE DEL GOBIERNO PARROQUIAL                                 SECRETARIO-TESORERO</t>
  </si>
  <si>
    <t>Sra. Ximena Castro</t>
  </si>
  <si>
    <t>Paúl Peláez</t>
  </si>
  <si>
    <t>SECRETARIO - TESORERO</t>
  </si>
  <si>
    <t>7.5.05.01</t>
  </si>
  <si>
    <t>7.5.05</t>
  </si>
  <si>
    <t>Mantenimiento y reparaciones de infrastructura</t>
  </si>
  <si>
    <t>Obras de infraestructura (adecuación bodega en llazhipal)</t>
  </si>
  <si>
    <t>7.5.01.05</t>
  </si>
  <si>
    <t>Servicios generales</t>
  </si>
  <si>
    <t>7,3,02</t>
  </si>
  <si>
    <t>Obras públicas de transporte y vías</t>
  </si>
  <si>
    <t>7.3.04.19</t>
  </si>
  <si>
    <t>Instalación, Mantenimiento y Reparación de Bienes Deportivos</t>
  </si>
  <si>
    <t>Egresos para instalación, mantenimiento y reparación de bienes deportivos</t>
  </si>
  <si>
    <t>A Entidades Descentralizadas y Autonomas</t>
  </si>
  <si>
    <t>5.8.01.02</t>
  </si>
  <si>
    <t>ESTIMACION DE INGRESOS AÑO 2023</t>
  </si>
  <si>
    <t>ESTIMACION PROVISIONAL INGRESOS  AÑO 2023</t>
  </si>
  <si>
    <t>CALCULO  DEFINITIVO DE INGRESOS 2023</t>
  </si>
  <si>
    <t>71.05.10</t>
  </si>
  <si>
    <t>7.3.06.06</t>
  </si>
  <si>
    <t>Honorarios por contratos civiles de servicios</t>
  </si>
  <si>
    <t xml:space="preserve">De cuentas por pagar </t>
  </si>
  <si>
    <t>PASIVO CIRCULANTE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</si>
</sst>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(* #,##0.00_);_(* \(#,##0.00\);_(* &quot;-&quot;??_);_(@_)"/>
    <numFmt numFmtId="166" formatCode="_-* #,##0.00\ _$_-;\-* #,##0.00\ _$_-;_-* &quot;-&quot;??\ _$_-;_-@_-"/>
    <numFmt numFmtId="167" formatCode="_-[$€]* #,##0.00_-;\-[$€]* #,##0.00_-;_-[$€]* &quot;-&quot;??_-;_-@_-"/>
    <numFmt numFmtId="168" formatCode="#,##0.0000"/>
    <numFmt numFmtId="169" formatCode="#,##0.00000"/>
    <numFmt numFmtId="170" formatCode="_(* #,##0_);_(* \(#,##0\);_(* &quot;-&quot;??_);_(@_)"/>
    <numFmt numFmtId="171" formatCode="_(* #,##0.0_);_(* \(#,##0.0\);_(* &quot;-&quot;??_);_(@_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 Black"/>
      <family val="2"/>
    </font>
    <font>
      <b/>
      <sz val="14"/>
      <name val="Arial Black"/>
      <family val="2"/>
    </font>
    <font>
      <b/>
      <sz val="14"/>
      <color theme="8" tint="-0.499984740745262"/>
      <name val="Arial"/>
      <family val="2"/>
    </font>
    <font>
      <b/>
      <sz val="14"/>
      <color theme="9" tint="-0.499984740745262"/>
      <name val="Arial"/>
      <family val="2"/>
    </font>
    <font>
      <sz val="8.5"/>
      <color rgb="FF000000"/>
      <name val="Times New Roman"/>
      <family val="1"/>
    </font>
    <font>
      <b/>
      <u/>
      <sz val="8"/>
      <color theme="1"/>
      <name val="Arial"/>
      <family val="2"/>
    </font>
    <font>
      <b/>
      <u val="singleAccounting"/>
      <sz val="8"/>
      <name val="Arial"/>
      <family val="2"/>
    </font>
    <font>
      <b/>
      <sz val="11"/>
      <color theme="8" tint="-0.499984740745262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u/>
      <sz val="8"/>
      <color theme="1"/>
      <name val="Arial"/>
      <family val="2"/>
    </font>
    <font>
      <b/>
      <u val="singleAccounting"/>
      <sz val="8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4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3" fillId="0" borderId="0" xfId="0" applyNumberFormat="1" applyFont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12" fillId="3" borderId="4" xfId="0" applyNumberFormat="1" applyFont="1" applyFill="1" applyBorder="1"/>
    <xf numFmtId="0" fontId="13" fillId="3" borderId="5" xfId="0" applyFont="1" applyFill="1" applyBorder="1"/>
    <xf numFmtId="4" fontId="1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Border="1"/>
    <xf numFmtId="4" fontId="7" fillId="0" borderId="10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10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/>
    <xf numFmtId="4" fontId="7" fillId="0" borderId="1" xfId="0" applyNumberFormat="1" applyFont="1" applyBorder="1"/>
    <xf numFmtId="4" fontId="6" fillId="0" borderId="0" xfId="0" applyNumberFormat="1" applyFont="1"/>
    <xf numFmtId="4" fontId="6" fillId="0" borderId="10" xfId="0" applyNumberFormat="1" applyFont="1" applyBorder="1"/>
    <xf numFmtId="0" fontId="6" fillId="0" borderId="11" xfId="0" applyFont="1" applyBorder="1"/>
    <xf numFmtId="0" fontId="6" fillId="0" borderId="1" xfId="0" applyFont="1" applyBorder="1"/>
    <xf numFmtId="4" fontId="6" fillId="0" borderId="2" xfId="0" applyNumberFormat="1" applyFont="1" applyBorder="1"/>
    <xf numFmtId="4" fontId="15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4" fontId="7" fillId="0" borderId="15" xfId="0" applyNumberFormat="1" applyFont="1" applyBorder="1"/>
    <xf numFmtId="4" fontId="16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10" xfId="0" applyNumberFormat="1" applyFont="1" applyBorder="1" applyAlignment="1">
      <alignment horizontal="right"/>
    </xf>
    <xf numFmtId="0" fontId="18" fillId="0" borderId="0" xfId="0" applyFont="1"/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0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0" fillId="0" borderId="0" xfId="0" applyFont="1"/>
    <xf numFmtId="4" fontId="20" fillId="0" borderId="0" xfId="0" applyNumberFormat="1" applyFont="1"/>
    <xf numFmtId="164" fontId="4" fillId="0" borderId="1" xfId="0" applyNumberFormat="1" applyFont="1" applyBorder="1"/>
    <xf numFmtId="164" fontId="3" fillId="0" borderId="1" xfId="0" applyNumberFormat="1" applyFont="1" applyBorder="1"/>
    <xf numFmtId="0" fontId="21" fillId="0" borderId="1" xfId="0" applyFont="1" applyBorder="1"/>
    <xf numFmtId="164" fontId="21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64" fontId="6" fillId="0" borderId="0" xfId="1" applyNumberFormat="1" applyFont="1" applyFill="1" applyBorder="1"/>
    <xf numFmtId="168" fontId="7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69" fontId="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164" fontId="26" fillId="0" borderId="1" xfId="1" applyNumberFormat="1" applyFont="1" applyFill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9" fillId="0" borderId="1" xfId="0" applyFont="1" applyBorder="1" applyAlignment="1">
      <alignment vertical="center" readingOrder="1"/>
    </xf>
    <xf numFmtId="1" fontId="0" fillId="0" borderId="0" xfId="0" applyNumberFormat="1"/>
    <xf numFmtId="9" fontId="0" fillId="0" borderId="0" xfId="0" applyNumberFormat="1"/>
    <xf numFmtId="0" fontId="23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3" fillId="8" borderId="0" xfId="0" applyFont="1" applyFill="1"/>
    <xf numFmtId="0" fontId="0" fillId="8" borderId="0" xfId="0" applyFill="1"/>
    <xf numFmtId="2" fontId="0" fillId="8" borderId="0" xfId="0" applyNumberFormat="1" applyFill="1"/>
    <xf numFmtId="2" fontId="23" fillId="8" borderId="0" xfId="0" applyNumberFormat="1" applyFont="1" applyFill="1"/>
    <xf numFmtId="9" fontId="0" fillId="0" borderId="0" xfId="9" applyFont="1" applyFill="1"/>
    <xf numFmtId="2" fontId="0" fillId="0" borderId="0" xfId="9" applyNumberFormat="1" applyFont="1" applyFill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1" fillId="11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25" fillId="2" borderId="1" xfId="0" applyFont="1" applyFill="1" applyBorder="1" applyAlignment="1">
      <alignment horizontal="justify" vertical="center"/>
    </xf>
    <xf numFmtId="0" fontId="32" fillId="11" borderId="1" xfId="0" applyFont="1" applyFill="1" applyBorder="1" applyAlignment="1">
      <alignment horizontal="center" vertical="center" wrapText="1"/>
    </xf>
    <xf numFmtId="4" fontId="0" fillId="0" borderId="0" xfId="0" applyNumberFormat="1"/>
    <xf numFmtId="2" fontId="0" fillId="2" borderId="0" xfId="9" applyNumberFormat="1" applyFont="1" applyFill="1"/>
    <xf numFmtId="4" fontId="23" fillId="0" borderId="0" xfId="0" applyNumberFormat="1" applyFont="1"/>
    <xf numFmtId="165" fontId="23" fillId="0" borderId="0" xfId="0" applyNumberFormat="1" applyFont="1" applyAlignment="1">
      <alignment horizontal="center"/>
    </xf>
    <xf numFmtId="0" fontId="23" fillId="14" borderId="0" xfId="0" applyFont="1" applyFill="1"/>
    <xf numFmtId="1" fontId="23" fillId="0" borderId="0" xfId="0" applyNumberFormat="1" applyFont="1"/>
    <xf numFmtId="0" fontId="0" fillId="0" borderId="1" xfId="0" applyBorder="1"/>
    <xf numFmtId="0" fontId="23" fillId="0" borderId="1" xfId="0" applyFont="1" applyBorder="1"/>
    <xf numFmtId="0" fontId="37" fillId="0" borderId="19" xfId="0" applyFont="1" applyBorder="1" applyAlignment="1">
      <alignment vertical="center"/>
    </xf>
    <xf numFmtId="0" fontId="37" fillId="5" borderId="20" xfId="0" applyFont="1" applyFill="1" applyBorder="1" applyAlignment="1">
      <alignment horizontal="right" vertical="center"/>
    </xf>
    <xf numFmtId="0" fontId="38" fillId="0" borderId="21" xfId="0" applyFont="1" applyBorder="1" applyAlignment="1">
      <alignment vertical="center"/>
    </xf>
    <xf numFmtId="0" fontId="38" fillId="5" borderId="22" xfId="0" applyFont="1" applyFill="1" applyBorder="1" applyAlignment="1">
      <alignment horizontal="right" vertical="center"/>
    </xf>
    <xf numFmtId="0" fontId="37" fillId="0" borderId="21" xfId="0" applyFont="1" applyBorder="1" applyAlignment="1">
      <alignment vertical="center"/>
    </xf>
    <xf numFmtId="0" fontId="37" fillId="5" borderId="22" xfId="0" applyFont="1" applyFill="1" applyBorder="1" applyAlignment="1">
      <alignment horizontal="right" vertical="center"/>
    </xf>
    <xf numFmtId="0" fontId="37" fillId="0" borderId="22" xfId="0" applyFont="1" applyBorder="1" applyAlignment="1">
      <alignment horizontal="right" vertical="center"/>
    </xf>
    <xf numFmtId="0" fontId="37" fillId="5" borderId="21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39" fillId="0" borderId="21" xfId="0" applyFont="1" applyBorder="1" applyAlignment="1">
      <alignment vertical="center" wrapText="1"/>
    </xf>
    <xf numFmtId="0" fontId="39" fillId="5" borderId="22" xfId="0" applyFont="1" applyFill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 wrapText="1"/>
    </xf>
    <xf numFmtId="0" fontId="38" fillId="0" borderId="21" xfId="0" applyFont="1" applyBorder="1" applyAlignment="1">
      <alignment vertical="center" wrapText="1"/>
    </xf>
    <xf numFmtId="0" fontId="38" fillId="0" borderId="22" xfId="0" applyFont="1" applyBorder="1" applyAlignment="1">
      <alignment horizontal="right" vertical="center"/>
    </xf>
    <xf numFmtId="4" fontId="38" fillId="0" borderId="22" xfId="0" applyNumberFormat="1" applyFont="1" applyBorder="1" applyAlignment="1">
      <alignment horizontal="right" vertical="center"/>
    </xf>
    <xf numFmtId="0" fontId="38" fillId="5" borderId="22" xfId="0" applyFont="1" applyFill="1" applyBorder="1" applyAlignment="1">
      <alignment vertical="center"/>
    </xf>
    <xf numFmtId="0" fontId="39" fillId="0" borderId="21" xfId="0" applyFont="1" applyBorder="1" applyAlignment="1">
      <alignment vertical="center"/>
    </xf>
    <xf numFmtId="4" fontId="39" fillId="5" borderId="22" xfId="0" applyNumberFormat="1" applyFont="1" applyFill="1" applyBorder="1" applyAlignment="1">
      <alignment horizontal="right" vertical="center"/>
    </xf>
    <xf numFmtId="165" fontId="23" fillId="0" borderId="1" xfId="10" applyFont="1" applyFill="1" applyBorder="1"/>
    <xf numFmtId="165" fontId="0" fillId="0" borderId="1" xfId="10" applyFont="1" applyFill="1" applyBorder="1"/>
    <xf numFmtId="165" fontId="0" fillId="0" borderId="0" xfId="10" applyFont="1" applyFill="1"/>
    <xf numFmtId="165" fontId="0" fillId="0" borderId="0" xfId="10" applyFont="1"/>
    <xf numFmtId="165" fontId="23" fillId="0" borderId="0" xfId="10" applyFont="1"/>
    <xf numFmtId="165" fontId="24" fillId="6" borderId="1" xfId="10" applyFont="1" applyFill="1" applyBorder="1"/>
    <xf numFmtId="165" fontId="23" fillId="14" borderId="0" xfId="10" applyFont="1" applyFill="1"/>
    <xf numFmtId="165" fontId="0" fillId="9" borderId="0" xfId="10" applyFont="1" applyFill="1"/>
    <xf numFmtId="165" fontId="0" fillId="11" borderId="0" xfId="10" applyFont="1" applyFill="1"/>
    <xf numFmtId="165" fontId="31" fillId="11" borderId="1" xfId="10" applyFont="1" applyFill="1" applyBorder="1" applyAlignment="1">
      <alignment horizontal="center" vertical="center" wrapText="1"/>
    </xf>
    <xf numFmtId="165" fontId="32" fillId="11" borderId="1" xfId="10" applyFont="1" applyFill="1" applyBorder="1" applyAlignment="1">
      <alignment vertical="center" wrapText="1"/>
    </xf>
    <xf numFmtId="165" fontId="0" fillId="10" borderId="0" xfId="10" applyFont="1" applyFill="1"/>
    <xf numFmtId="165" fontId="0" fillId="2" borderId="0" xfId="10" applyFont="1" applyFill="1"/>
    <xf numFmtId="165" fontId="0" fillId="12" borderId="0" xfId="10" applyFont="1" applyFill="1"/>
    <xf numFmtId="165" fontId="23" fillId="7" borderId="0" xfId="10" applyFont="1" applyFill="1"/>
    <xf numFmtId="165" fontId="0" fillId="7" borderId="0" xfId="10" applyFont="1" applyFill="1"/>
    <xf numFmtId="165" fontId="23" fillId="0" borderId="0" xfId="10" applyFont="1" applyAlignment="1"/>
    <xf numFmtId="165" fontId="23" fillId="8" borderId="0" xfId="10" applyFont="1" applyFill="1"/>
    <xf numFmtId="165" fontId="0" fillId="8" borderId="0" xfId="10" applyFont="1" applyFill="1"/>
    <xf numFmtId="165" fontId="0" fillId="5" borderId="1" xfId="10" applyFont="1" applyFill="1" applyBorder="1"/>
    <xf numFmtId="165" fontId="23" fillId="5" borderId="1" xfId="10" applyFont="1" applyFill="1" applyBorder="1"/>
    <xf numFmtId="0" fontId="23" fillId="0" borderId="1" xfId="0" applyFont="1" applyBorder="1" applyAlignment="1">
      <alignment wrapText="1"/>
    </xf>
    <xf numFmtId="165" fontId="23" fillId="0" borderId="1" xfId="10" applyFont="1" applyBorder="1"/>
    <xf numFmtId="0" fontId="30" fillId="0" borderId="1" xfId="0" applyFont="1" applyBorder="1"/>
    <xf numFmtId="165" fontId="30" fillId="0" borderId="1" xfId="10" applyFont="1" applyFill="1" applyBorder="1"/>
    <xf numFmtId="49" fontId="40" fillId="13" borderId="0" xfId="0" applyNumberFormat="1" applyFont="1" applyFill="1" applyAlignment="1">
      <alignment horizontal="left"/>
    </xf>
    <xf numFmtId="0" fontId="41" fillId="13" borderId="0" xfId="0" applyFont="1" applyFill="1" applyAlignment="1">
      <alignment wrapText="1"/>
    </xf>
    <xf numFmtId="4" fontId="40" fillId="13" borderId="0" xfId="0" applyNumberFormat="1" applyFont="1" applyFill="1" applyAlignment="1">
      <alignment horizontal="center"/>
    </xf>
    <xf numFmtId="49" fontId="42" fillId="13" borderId="0" xfId="0" applyNumberFormat="1" applyFont="1" applyFill="1" applyAlignment="1">
      <alignment horizontal="right"/>
    </xf>
    <xf numFmtId="0" fontId="42" fillId="13" borderId="0" xfId="0" applyFont="1" applyFill="1" applyAlignment="1">
      <alignment wrapText="1"/>
    </xf>
    <xf numFmtId="4" fontId="42" fillId="13" borderId="0" xfId="0" applyNumberFormat="1" applyFont="1" applyFill="1"/>
    <xf numFmtId="49" fontId="40" fillId="0" borderId="1" xfId="0" applyNumberFormat="1" applyFont="1" applyBorder="1" applyAlignment="1">
      <alignment horizontal="right"/>
    </xf>
    <xf numFmtId="0" fontId="40" fillId="0" borderId="1" xfId="0" applyFont="1" applyBorder="1" applyAlignment="1">
      <alignment wrapText="1"/>
    </xf>
    <xf numFmtId="4" fontId="40" fillId="0" borderId="1" xfId="0" applyNumberFormat="1" applyFont="1" applyBorder="1"/>
    <xf numFmtId="49" fontId="40" fillId="15" borderId="1" xfId="0" applyNumberFormat="1" applyFont="1" applyFill="1" applyBorder="1" applyAlignment="1">
      <alignment horizontal="right"/>
    </xf>
    <xf numFmtId="0" fontId="40" fillId="15" borderId="1" xfId="0" applyFont="1" applyFill="1" applyBorder="1" applyAlignment="1">
      <alignment wrapText="1"/>
    </xf>
    <xf numFmtId="4" fontId="40" fillId="15" borderId="1" xfId="0" applyNumberFormat="1" applyFont="1" applyFill="1" applyBorder="1"/>
    <xf numFmtId="0" fontId="43" fillId="13" borderId="1" xfId="7" applyFont="1" applyFill="1" applyBorder="1" applyAlignment="1">
      <alignment wrapText="1"/>
    </xf>
    <xf numFmtId="4" fontId="13" fillId="0" borderId="1" xfId="7" applyNumberFormat="1" applyFont="1" applyBorder="1"/>
    <xf numFmtId="0" fontId="43" fillId="15" borderId="1" xfId="7" applyFont="1" applyFill="1" applyBorder="1" applyAlignment="1">
      <alignment wrapText="1"/>
    </xf>
    <xf numFmtId="0" fontId="40" fillId="13" borderId="1" xfId="0" applyFont="1" applyFill="1" applyBorder="1" applyAlignment="1">
      <alignment wrapText="1"/>
    </xf>
    <xf numFmtId="49" fontId="41" fillId="15" borderId="1" xfId="0" applyNumberFormat="1" applyFont="1" applyFill="1" applyBorder="1" applyAlignment="1">
      <alignment horizontal="right"/>
    </xf>
    <xf numFmtId="0" fontId="41" fillId="15" borderId="1" xfId="0" applyFont="1" applyFill="1" applyBorder="1" applyAlignment="1">
      <alignment wrapText="1"/>
    </xf>
    <xf numFmtId="49" fontId="41" fillId="0" borderId="1" xfId="0" applyNumberFormat="1" applyFont="1" applyBorder="1" applyAlignment="1">
      <alignment horizontal="right"/>
    </xf>
    <xf numFmtId="0" fontId="41" fillId="0" borderId="0" xfId="0" applyFont="1"/>
    <xf numFmtId="49" fontId="41" fillId="0" borderId="0" xfId="0" applyNumberFormat="1" applyFont="1" applyAlignment="1">
      <alignment horizontal="right"/>
    </xf>
    <xf numFmtId="0" fontId="41" fillId="0" borderId="0" xfId="0" applyFont="1" applyAlignment="1">
      <alignment wrapText="1"/>
    </xf>
    <xf numFmtId="4" fontId="40" fillId="0" borderId="0" xfId="0" applyNumberFormat="1" applyFont="1"/>
    <xf numFmtId="0" fontId="40" fillId="5" borderId="1" xfId="0" applyFont="1" applyFill="1" applyBorder="1" applyAlignment="1">
      <alignment wrapText="1"/>
    </xf>
    <xf numFmtId="4" fontId="40" fillId="5" borderId="1" xfId="0" applyNumberFormat="1" applyFont="1" applyFill="1" applyBorder="1"/>
    <xf numFmtId="0" fontId="41" fillId="0" borderId="0" xfId="0" applyFont="1" applyAlignment="1">
      <alignment horizontal="right"/>
    </xf>
    <xf numFmtId="0" fontId="45" fillId="0" borderId="0" xfId="0" applyFont="1"/>
    <xf numFmtId="0" fontId="45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right" wrapText="1"/>
    </xf>
    <xf numFmtId="0" fontId="46" fillId="0" borderId="1" xfId="0" applyFont="1" applyBorder="1" applyAlignment="1">
      <alignment wrapText="1"/>
    </xf>
    <xf numFmtId="164" fontId="46" fillId="0" borderId="1" xfId="1" applyNumberFormat="1" applyFont="1" applyFill="1" applyBorder="1" applyAlignment="1">
      <alignment wrapText="1"/>
    </xf>
    <xf numFmtId="0" fontId="47" fillId="0" borderId="1" xfId="0" applyFont="1" applyBorder="1" applyAlignment="1">
      <alignment horizontal="right" wrapText="1"/>
    </xf>
    <xf numFmtId="0" fontId="47" fillId="0" borderId="1" xfId="0" applyFont="1" applyBorder="1" applyAlignment="1">
      <alignment wrapText="1"/>
    </xf>
    <xf numFmtId="164" fontId="47" fillId="0" borderId="1" xfId="1" applyNumberFormat="1" applyFont="1" applyFill="1" applyBorder="1" applyAlignment="1">
      <alignment wrapText="1"/>
    </xf>
    <xf numFmtId="0" fontId="43" fillId="0" borderId="1" xfId="7" applyFont="1" applyBorder="1" applyAlignment="1">
      <alignment horizontal="right" wrapText="1"/>
    </xf>
    <xf numFmtId="0" fontId="43" fillId="0" borderId="1" xfId="0" applyFont="1" applyBorder="1" applyAlignment="1">
      <alignment wrapText="1"/>
    </xf>
    <xf numFmtId="164" fontId="43" fillId="0" borderId="1" xfId="1" applyNumberFormat="1" applyFont="1" applyFill="1" applyBorder="1" applyAlignment="1">
      <alignment wrapText="1"/>
    </xf>
    <xf numFmtId="0" fontId="13" fillId="0" borderId="1" xfId="7" applyFont="1" applyBorder="1" applyAlignment="1">
      <alignment horizontal="right" wrapText="1"/>
    </xf>
    <xf numFmtId="0" fontId="13" fillId="0" borderId="1" xfId="0" applyFont="1" applyBorder="1" applyAlignment="1">
      <alignment wrapText="1"/>
    </xf>
    <xf numFmtId="164" fontId="13" fillId="0" borderId="1" xfId="1" applyNumberFormat="1" applyFont="1" applyFill="1" applyBorder="1" applyAlignment="1">
      <alignment wrapText="1"/>
    </xf>
    <xf numFmtId="0" fontId="46" fillId="0" borderId="1" xfId="0" applyFont="1" applyBorder="1" applyAlignment="1">
      <alignment horizontal="center" wrapText="1"/>
    </xf>
    <xf numFmtId="165" fontId="46" fillId="0" borderId="1" xfId="10" applyFont="1" applyBorder="1" applyAlignment="1">
      <alignment horizontal="right" wrapText="1"/>
    </xf>
    <xf numFmtId="165" fontId="47" fillId="0" borderId="1" xfId="10" applyFont="1" applyBorder="1" applyAlignment="1">
      <alignment wrapText="1"/>
    </xf>
    <xf numFmtId="165" fontId="43" fillId="0" borderId="1" xfId="10" applyFont="1" applyFill="1" applyBorder="1" applyAlignment="1">
      <alignment wrapText="1"/>
    </xf>
    <xf numFmtId="164" fontId="47" fillId="0" borderId="1" xfId="0" applyNumberFormat="1" applyFont="1" applyBorder="1" applyAlignment="1">
      <alignment wrapText="1"/>
    </xf>
    <xf numFmtId="0" fontId="41" fillId="0" borderId="1" xfId="0" applyFont="1" applyBorder="1"/>
    <xf numFmtId="165" fontId="41" fillId="0" borderId="1" xfId="10" applyFont="1" applyBorder="1"/>
    <xf numFmtId="0" fontId="40" fillId="0" borderId="1" xfId="0" applyFont="1" applyBorder="1" applyAlignment="1">
      <alignment horizontal="right" wrapText="1"/>
    </xf>
    <xf numFmtId="0" fontId="43" fillId="5" borderId="1" xfId="0" applyFont="1" applyFill="1" applyBorder="1" applyAlignment="1">
      <alignment wrapText="1"/>
    </xf>
    <xf numFmtId="164" fontId="43" fillId="5" borderId="1" xfId="1" applyNumberFormat="1" applyFont="1" applyFill="1" applyBorder="1" applyAlignment="1">
      <alignment wrapText="1"/>
    </xf>
    <xf numFmtId="0" fontId="10" fillId="0" borderId="1" xfId="0" applyFont="1" applyBorder="1"/>
    <xf numFmtId="0" fontId="26" fillId="0" borderId="1" xfId="7" applyFont="1" applyBorder="1" applyAlignment="1">
      <alignment horizontal="right" wrapText="1"/>
    </xf>
    <xf numFmtId="0" fontId="3" fillId="0" borderId="1" xfId="0" applyFont="1" applyBorder="1"/>
    <xf numFmtId="165" fontId="10" fillId="0" borderId="1" xfId="0" applyNumberFormat="1" applyFont="1" applyBorder="1"/>
    <xf numFmtId="165" fontId="2" fillId="0" borderId="1" xfId="10" applyFont="1" applyFill="1" applyBorder="1"/>
    <xf numFmtId="0" fontId="27" fillId="0" borderId="1" xfId="0" applyFont="1" applyBorder="1" applyAlignment="1">
      <alignment horizontal="right" wrapText="1"/>
    </xf>
    <xf numFmtId="0" fontId="48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165" fontId="6" fillId="0" borderId="1" xfId="10" applyFont="1" applyBorder="1"/>
    <xf numFmtId="165" fontId="6" fillId="0" borderId="0" xfId="10" applyFont="1" applyFill="1" applyBorder="1"/>
    <xf numFmtId="165" fontId="6" fillId="0" borderId="0" xfId="10" applyFont="1"/>
    <xf numFmtId="165" fontId="7" fillId="13" borderId="0" xfId="10" applyFont="1" applyFill="1" applyBorder="1" applyAlignment="1">
      <alignment horizontal="left"/>
    </xf>
    <xf numFmtId="165" fontId="7" fillId="0" borderId="1" xfId="10" applyFont="1" applyFill="1" applyBorder="1" applyAlignment="1">
      <alignment horizontal="center" vertical="center"/>
    </xf>
    <xf numFmtId="165" fontId="7" fillId="0" borderId="0" xfId="10" applyFont="1" applyFill="1" applyBorder="1"/>
    <xf numFmtId="165" fontId="7" fillId="0" borderId="1" xfId="10" applyFont="1" applyFill="1" applyBorder="1" applyAlignment="1">
      <alignment horizontal="right"/>
    </xf>
    <xf numFmtId="165" fontId="6" fillId="0" borderId="1" xfId="10" applyFont="1" applyFill="1" applyBorder="1"/>
    <xf numFmtId="165" fontId="36" fillId="0" borderId="1" xfId="10" applyFont="1" applyFill="1" applyBorder="1"/>
    <xf numFmtId="165" fontId="7" fillId="0" borderId="1" xfId="10" applyFont="1" applyFill="1" applyBorder="1"/>
    <xf numFmtId="165" fontId="6" fillId="0" borderId="1" xfId="10" applyFont="1" applyFill="1" applyBorder="1" applyAlignment="1">
      <alignment horizontal="right"/>
    </xf>
    <xf numFmtId="165" fontId="36" fillId="0" borderId="1" xfId="10" applyFont="1" applyFill="1" applyBorder="1" applyAlignment="1">
      <alignment horizontal="right"/>
    </xf>
    <xf numFmtId="165" fontId="6" fillId="0" borderId="0" xfId="10" applyFont="1" applyFill="1"/>
    <xf numFmtId="165" fontId="6" fillId="0" borderId="0" xfId="10" applyFont="1" applyFill="1" applyBorder="1" applyAlignment="1">
      <alignment horizontal="right"/>
    </xf>
    <xf numFmtId="165" fontId="7" fillId="0" borderId="18" xfId="10" applyFont="1" applyFill="1" applyBorder="1"/>
    <xf numFmtId="165" fontId="36" fillId="0" borderId="18" xfId="10" applyFont="1" applyFill="1" applyBorder="1"/>
    <xf numFmtId="165" fontId="7" fillId="0" borderId="16" xfId="10" applyFont="1" applyFill="1" applyBorder="1" applyAlignment="1">
      <alignment horizontal="right"/>
    </xf>
    <xf numFmtId="165" fontId="6" fillId="0" borderId="16" xfId="10" applyFont="1" applyFill="1" applyBorder="1"/>
    <xf numFmtId="165" fontId="7" fillId="0" borderId="16" xfId="10" applyFont="1" applyFill="1" applyBorder="1"/>
    <xf numFmtId="165" fontId="6" fillId="0" borderId="16" xfId="10" applyFont="1" applyFill="1" applyBorder="1" applyAlignment="1">
      <alignment horizontal="right"/>
    </xf>
    <xf numFmtId="165" fontId="36" fillId="0" borderId="0" xfId="10" applyFont="1" applyFill="1" applyBorder="1"/>
    <xf numFmtId="165" fontId="6" fillId="14" borderId="1" xfId="10" applyFont="1" applyFill="1" applyBorder="1"/>
    <xf numFmtId="165" fontId="7" fillId="14" borderId="1" xfId="10" applyFont="1" applyFill="1" applyBorder="1"/>
    <xf numFmtId="165" fontId="36" fillId="14" borderId="1" xfId="10" applyFont="1" applyFill="1" applyBorder="1"/>
    <xf numFmtId="165" fontId="6" fillId="0" borderId="3" xfId="10" applyFont="1" applyFill="1" applyBorder="1" applyAlignment="1">
      <alignment horizontal="right"/>
    </xf>
    <xf numFmtId="165" fontId="19" fillId="0" borderId="0" xfId="10" applyFont="1" applyFill="1" applyBorder="1" applyAlignment="1">
      <alignment horizontal="right"/>
    </xf>
    <xf numFmtId="165" fontId="19" fillId="0" borderId="0" xfId="10" applyFont="1"/>
    <xf numFmtId="165" fontId="19" fillId="0" borderId="0" xfId="10" applyFont="1" applyFill="1" applyBorder="1"/>
    <xf numFmtId="165" fontId="49" fillId="0" borderId="0" xfId="10" applyFont="1" applyFill="1" applyBorder="1"/>
    <xf numFmtId="49" fontId="7" fillId="0" borderId="1" xfId="10" applyNumberFormat="1" applyFont="1" applyFill="1" applyBorder="1" applyAlignment="1">
      <alignment horizontal="center" vertical="center" wrapText="1"/>
    </xf>
    <xf numFmtId="49" fontId="7" fillId="0" borderId="1" xfId="10" applyNumberFormat="1" applyFont="1" applyFill="1" applyBorder="1" applyAlignment="1">
      <alignment wrapText="1"/>
    </xf>
    <xf numFmtId="49" fontId="6" fillId="0" borderId="1" xfId="10" applyNumberFormat="1" applyFont="1" applyFill="1" applyBorder="1" applyAlignment="1">
      <alignment wrapText="1"/>
    </xf>
    <xf numFmtId="49" fontId="36" fillId="0" borderId="1" xfId="10" applyNumberFormat="1" applyFont="1" applyFill="1" applyBorder="1" applyAlignment="1">
      <alignment wrapText="1"/>
    </xf>
    <xf numFmtId="49" fontId="6" fillId="0" borderId="0" xfId="10" applyNumberFormat="1" applyFont="1" applyFill="1" applyBorder="1" applyAlignment="1">
      <alignment wrapText="1"/>
    </xf>
    <xf numFmtId="49" fontId="7" fillId="0" borderId="16" xfId="10" applyNumberFormat="1" applyFont="1" applyFill="1" applyBorder="1" applyAlignment="1">
      <alignment wrapText="1"/>
    </xf>
    <xf numFmtId="49" fontId="6" fillId="0" borderId="16" xfId="10" applyNumberFormat="1" applyFont="1" applyFill="1" applyBorder="1" applyAlignment="1">
      <alignment wrapText="1"/>
    </xf>
    <xf numFmtId="49" fontId="6" fillId="0" borderId="0" xfId="10" applyNumberFormat="1" applyFont="1"/>
    <xf numFmtId="49" fontId="7" fillId="0" borderId="0" xfId="10" applyNumberFormat="1" applyFont="1"/>
    <xf numFmtId="49" fontId="7" fillId="0" borderId="2" xfId="10" applyNumberFormat="1" applyFont="1" applyFill="1" applyBorder="1" applyAlignment="1">
      <alignment wrapText="1"/>
    </xf>
    <xf numFmtId="49" fontId="6" fillId="0" borderId="2" xfId="10" applyNumberFormat="1" applyFont="1" applyFill="1" applyBorder="1" applyAlignment="1">
      <alignment wrapText="1"/>
    </xf>
    <xf numFmtId="49" fontId="6" fillId="0" borderId="3" xfId="10" applyNumberFormat="1" applyFont="1" applyFill="1" applyBorder="1" applyAlignment="1">
      <alignment wrapText="1"/>
    </xf>
    <xf numFmtId="49" fontId="19" fillId="0" borderId="0" xfId="10" applyNumberFormat="1" applyFont="1" applyFill="1" applyBorder="1" applyAlignment="1">
      <alignment wrapText="1"/>
    </xf>
    <xf numFmtId="165" fontId="6" fillId="0" borderId="18" xfId="10" applyFont="1" applyFill="1" applyBorder="1"/>
    <xf numFmtId="164" fontId="10" fillId="0" borderId="0" xfId="0" applyNumberFormat="1" applyFont="1"/>
    <xf numFmtId="165" fontId="3" fillId="0" borderId="0" xfId="0" applyNumberFormat="1" applyFont="1"/>
    <xf numFmtId="165" fontId="28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5" fontId="7" fillId="0" borderId="0" xfId="10" applyFont="1" applyAlignment="1">
      <alignment horizontal="right"/>
    </xf>
    <xf numFmtId="165" fontId="3" fillId="0" borderId="1" xfId="0" applyNumberFormat="1" applyFont="1" applyBorder="1"/>
    <xf numFmtId="165" fontId="4" fillId="0" borderId="1" xfId="0" applyNumberFormat="1" applyFont="1" applyBorder="1"/>
    <xf numFmtId="164" fontId="0" fillId="0" borderId="0" xfId="0" applyNumberFormat="1"/>
    <xf numFmtId="9" fontId="0" fillId="0" borderId="0" xfId="9" applyFont="1"/>
    <xf numFmtId="165" fontId="24" fillId="0" borderId="1" xfId="10" applyFont="1" applyFill="1" applyBorder="1" applyAlignment="1">
      <alignment wrapText="1"/>
    </xf>
    <xf numFmtId="165" fontId="24" fillId="0" borderId="1" xfId="10" applyFont="1" applyFill="1" applyBorder="1"/>
    <xf numFmtId="0" fontId="24" fillId="0" borderId="1" xfId="0" applyFont="1" applyBorder="1"/>
    <xf numFmtId="2" fontId="24" fillId="0" borderId="1" xfId="0" applyNumberFormat="1" applyFont="1" applyBorder="1"/>
    <xf numFmtId="0" fontId="24" fillId="0" borderId="26" xfId="0" applyFont="1" applyBorder="1"/>
    <xf numFmtId="0" fontId="2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164" fontId="23" fillId="0" borderId="0" xfId="0" applyNumberFormat="1" applyFont="1"/>
    <xf numFmtId="165" fontId="0" fillId="16" borderId="1" xfId="10" applyFont="1" applyFill="1" applyBorder="1"/>
    <xf numFmtId="165" fontId="23" fillId="16" borderId="1" xfId="10" applyFont="1" applyFill="1" applyBorder="1"/>
    <xf numFmtId="165" fontId="23" fillId="0" borderId="0" xfId="10" applyFont="1" applyFill="1" applyBorder="1"/>
    <xf numFmtId="0" fontId="23" fillId="0" borderId="1" xfId="0" applyFont="1" applyBorder="1" applyAlignment="1">
      <alignment horizontal="left" wrapText="1"/>
    </xf>
    <xf numFmtId="165" fontId="36" fillId="0" borderId="18" xfId="10" applyFont="1" applyFill="1" applyBorder="1" applyAlignment="1">
      <alignment horizontal="right"/>
    </xf>
    <xf numFmtId="49" fontId="36" fillId="0" borderId="18" xfId="10" applyNumberFormat="1" applyFont="1" applyFill="1" applyBorder="1" applyAlignment="1">
      <alignment wrapText="1"/>
    </xf>
    <xf numFmtId="165" fontId="6" fillId="14" borderId="18" xfId="10" applyFont="1" applyFill="1" applyBorder="1"/>
    <xf numFmtId="165" fontId="50" fillId="14" borderId="18" xfId="10" applyFont="1" applyFill="1" applyBorder="1"/>
    <xf numFmtId="165" fontId="50" fillId="0" borderId="1" xfId="10" applyFont="1" applyFill="1" applyBorder="1"/>
    <xf numFmtId="165" fontId="50" fillId="14" borderId="1" xfId="10" applyFont="1" applyFill="1" applyBorder="1"/>
    <xf numFmtId="165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right" wrapText="1"/>
    </xf>
    <xf numFmtId="0" fontId="51" fillId="0" borderId="1" xfId="0" applyFont="1" applyBorder="1" applyAlignment="1">
      <alignment wrapText="1"/>
    </xf>
    <xf numFmtId="164" fontId="51" fillId="0" borderId="1" xfId="0" applyNumberFormat="1" applyFont="1" applyBorder="1" applyAlignment="1">
      <alignment wrapText="1"/>
    </xf>
    <xf numFmtId="164" fontId="51" fillId="0" borderId="1" xfId="1" applyNumberFormat="1" applyFont="1" applyFill="1" applyBorder="1" applyAlignment="1">
      <alignment wrapText="1"/>
    </xf>
    <xf numFmtId="0" fontId="51" fillId="0" borderId="1" xfId="0" applyFont="1" applyBorder="1"/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164" fontId="10" fillId="0" borderId="1" xfId="1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0" fontId="3" fillId="0" borderId="1" xfId="5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0" fontId="4" fillId="0" borderId="1" xfId="7" applyFont="1" applyBorder="1" applyAlignment="1">
      <alignment horizontal="right" wrapText="1"/>
    </xf>
    <xf numFmtId="0" fontId="3" fillId="0" borderId="1" xfId="7" applyFont="1" applyBorder="1" applyAlignment="1">
      <alignment horizontal="right" wrapText="1"/>
    </xf>
    <xf numFmtId="164" fontId="10" fillId="0" borderId="1" xfId="0" applyNumberFormat="1" applyFont="1" applyBorder="1" applyAlignment="1">
      <alignment wrapText="1"/>
    </xf>
    <xf numFmtId="164" fontId="3" fillId="0" borderId="1" xfId="1" quotePrefix="1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165" fontId="51" fillId="0" borderId="1" xfId="10" applyFont="1" applyFill="1" applyBorder="1" applyAlignment="1">
      <alignment wrapText="1"/>
    </xf>
    <xf numFmtId="165" fontId="10" fillId="0" borderId="1" xfId="10" applyFont="1" applyFill="1" applyBorder="1" applyAlignment="1">
      <alignment wrapText="1"/>
    </xf>
    <xf numFmtId="165" fontId="4" fillId="0" borderId="1" xfId="10" applyFont="1" applyFill="1" applyBorder="1" applyAlignment="1">
      <alignment wrapText="1"/>
    </xf>
    <xf numFmtId="165" fontId="2" fillId="0" borderId="1" xfId="10" applyFont="1" applyFill="1" applyBorder="1" applyAlignment="1">
      <alignment horizontal="center"/>
    </xf>
    <xf numFmtId="165" fontId="20" fillId="0" borderId="1" xfId="10" applyFont="1" applyFill="1" applyBorder="1" applyAlignment="1">
      <alignment wrapText="1"/>
    </xf>
    <xf numFmtId="165" fontId="28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" fontId="11" fillId="0" borderId="0" xfId="0" applyNumberFormat="1" applyFont="1"/>
    <xf numFmtId="49" fontId="6" fillId="0" borderId="18" xfId="10" applyNumberFormat="1" applyFont="1" applyFill="1" applyBorder="1" applyAlignment="1">
      <alignment wrapText="1"/>
    </xf>
    <xf numFmtId="164" fontId="11" fillId="0" borderId="0" xfId="0" applyNumberFormat="1" applyFont="1"/>
    <xf numFmtId="49" fontId="6" fillId="0" borderId="1" xfId="10" applyNumberFormat="1" applyFont="1" applyFill="1" applyBorder="1" applyAlignment="1">
      <alignment horizontal="left" vertical="top" wrapText="1"/>
    </xf>
    <xf numFmtId="2" fontId="7" fillId="0" borderId="1" xfId="10" applyNumberFormat="1" applyFont="1" applyFill="1" applyBorder="1"/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wrapText="1"/>
    </xf>
    <xf numFmtId="165" fontId="52" fillId="0" borderId="1" xfId="10" applyFont="1" applyFill="1" applyBorder="1"/>
    <xf numFmtId="165" fontId="19" fillId="0" borderId="1" xfId="10" applyFont="1" applyFill="1" applyBorder="1"/>
    <xf numFmtId="165" fontId="52" fillId="0" borderId="0" xfId="10" applyFont="1" applyFill="1" applyBorder="1"/>
    <xf numFmtId="165" fontId="53" fillId="0" borderId="0" xfId="10" applyFont="1"/>
    <xf numFmtId="165" fontId="53" fillId="0" borderId="1" xfId="10" applyFont="1" applyFill="1" applyBorder="1"/>
    <xf numFmtId="165" fontId="54" fillId="0" borderId="0" xfId="10" applyFont="1" applyFill="1" applyBorder="1"/>
    <xf numFmtId="4" fontId="56" fillId="0" borderId="0" xfId="0" applyNumberFormat="1" applyFont="1"/>
    <xf numFmtId="165" fontId="6" fillId="10" borderId="1" xfId="10" applyFont="1" applyFill="1" applyBorder="1"/>
    <xf numFmtId="2" fontId="6" fillId="0" borderId="1" xfId="10" applyNumberFormat="1" applyFont="1" applyFill="1" applyBorder="1"/>
    <xf numFmtId="171" fontId="7" fillId="0" borderId="1" xfId="10" applyNumberFormat="1" applyFont="1" applyFill="1" applyBorder="1" applyAlignment="1">
      <alignment horizontal="right"/>
    </xf>
    <xf numFmtId="4" fontId="58" fillId="0" borderId="0" xfId="0" applyNumberFormat="1" applyFont="1"/>
    <xf numFmtId="165" fontId="7" fillId="10" borderId="1" xfId="10" applyFont="1" applyFill="1" applyBorder="1" applyAlignment="1">
      <alignment wrapText="1"/>
    </xf>
    <xf numFmtId="49" fontId="7" fillId="10" borderId="2" xfId="10" applyNumberFormat="1" applyFont="1" applyFill="1" applyBorder="1" applyAlignment="1">
      <alignment wrapText="1"/>
    </xf>
    <xf numFmtId="165" fontId="6" fillId="10" borderId="2" xfId="10" applyFont="1" applyFill="1" applyBorder="1"/>
    <xf numFmtId="165" fontId="6" fillId="10" borderId="1" xfId="10" applyFont="1" applyFill="1" applyBorder="1" applyAlignment="1">
      <alignment horizontal="right"/>
    </xf>
    <xf numFmtId="165" fontId="7" fillId="10" borderId="16" xfId="10" applyFont="1" applyFill="1" applyBorder="1" applyAlignment="1">
      <alignment wrapText="1"/>
    </xf>
    <xf numFmtId="165" fontId="7" fillId="10" borderId="0" xfId="10" applyFont="1" applyFill="1" applyBorder="1" applyAlignment="1">
      <alignment wrapText="1"/>
    </xf>
    <xf numFmtId="49" fontId="7" fillId="10" borderId="0" xfId="10" applyNumberFormat="1" applyFont="1" applyFill="1" applyBorder="1" applyAlignment="1">
      <alignment wrapText="1"/>
    </xf>
    <xf numFmtId="165" fontId="6" fillId="10" borderId="0" xfId="10" applyFont="1" applyFill="1" applyBorder="1"/>
    <xf numFmtId="165" fontId="7" fillId="10" borderId="0" xfId="10" applyFont="1" applyFill="1" applyBorder="1"/>
    <xf numFmtId="49" fontId="7" fillId="10" borderId="25" xfId="10" applyNumberFormat="1" applyFont="1" applyFill="1" applyBorder="1" applyAlignment="1">
      <alignment wrapText="1"/>
    </xf>
    <xf numFmtId="49" fontId="7" fillId="10" borderId="1" xfId="10" applyNumberFormat="1" applyFont="1" applyFill="1" applyBorder="1" applyAlignment="1">
      <alignment wrapText="1"/>
    </xf>
    <xf numFmtId="165" fontId="49" fillId="10" borderId="1" xfId="10" applyFont="1" applyFill="1" applyBorder="1"/>
    <xf numFmtId="49" fontId="7" fillId="10" borderId="0" xfId="10" applyNumberFormat="1" applyFont="1" applyFill="1" applyBorder="1" applyAlignment="1">
      <alignment horizontal="left" wrapText="1"/>
    </xf>
    <xf numFmtId="165" fontId="7" fillId="10" borderId="1" xfId="10" applyFont="1" applyFill="1" applyBorder="1"/>
    <xf numFmtId="49" fontId="7" fillId="10" borderId="27" xfId="10" applyNumberFormat="1" applyFont="1" applyFill="1" applyBorder="1" applyAlignment="1">
      <alignment wrapText="1"/>
    </xf>
    <xf numFmtId="165" fontId="6" fillId="10" borderId="27" xfId="10" applyFont="1" applyFill="1" applyBorder="1"/>
    <xf numFmtId="165" fontId="7" fillId="10" borderId="3" xfId="10" applyFont="1" applyFill="1" applyBorder="1" applyAlignment="1">
      <alignment wrapText="1"/>
    </xf>
    <xf numFmtId="49" fontId="7" fillId="10" borderId="3" xfId="1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165" fontId="6" fillId="0" borderId="26" xfId="0" applyNumberFormat="1" applyFont="1" applyBorder="1" applyAlignment="1">
      <alignment horizontal="center"/>
    </xf>
    <xf numFmtId="165" fontId="49" fillId="10" borderId="0" xfId="10" applyFont="1" applyFill="1" applyBorder="1"/>
    <xf numFmtId="165" fontId="52" fillId="10" borderId="0" xfId="10" applyFont="1" applyFill="1" applyBorder="1"/>
    <xf numFmtId="165" fontId="2" fillId="0" borderId="0" xfId="0" applyNumberFormat="1" applyFont="1"/>
    <xf numFmtId="164" fontId="51" fillId="0" borderId="1" xfId="10" applyNumberFormat="1" applyFont="1" applyFill="1" applyBorder="1" applyAlignment="1">
      <alignment wrapText="1"/>
    </xf>
    <xf numFmtId="165" fontId="7" fillId="0" borderId="1" xfId="10" applyFont="1" applyFill="1" applyBorder="1" applyAlignment="1">
      <alignment horizontal="center" vertical="center" wrapText="1"/>
    </xf>
    <xf numFmtId="165" fontId="53" fillId="0" borderId="0" xfId="10" applyFont="1" applyFill="1" applyBorder="1"/>
    <xf numFmtId="170" fontId="7" fillId="0" borderId="16" xfId="10" applyNumberFormat="1" applyFont="1" applyFill="1" applyBorder="1" applyAlignment="1">
      <alignment horizontal="right"/>
    </xf>
    <xf numFmtId="165" fontId="7" fillId="10" borderId="23" xfId="10" applyFont="1" applyFill="1" applyBorder="1"/>
    <xf numFmtId="165" fontId="7" fillId="14" borderId="1" xfId="10" applyFont="1" applyFill="1" applyBorder="1" applyAlignment="1">
      <alignment horizontal="right"/>
    </xf>
    <xf numFmtId="49" fontId="7" fillId="14" borderId="1" xfId="10" applyNumberFormat="1" applyFont="1" applyFill="1" applyBorder="1" applyAlignment="1">
      <alignment wrapText="1"/>
    </xf>
    <xf numFmtId="165" fontId="36" fillId="10" borderId="1" xfId="10" applyFont="1" applyFill="1" applyBorder="1"/>
    <xf numFmtId="165" fontId="6" fillId="14" borderId="1" xfId="10" applyFont="1" applyFill="1" applyBorder="1" applyAlignment="1">
      <alignment horizontal="right"/>
    </xf>
    <xf numFmtId="49" fontId="6" fillId="14" borderId="1" xfId="10" applyNumberFormat="1" applyFont="1" applyFill="1" applyBorder="1" applyAlignment="1">
      <alignment wrapText="1"/>
    </xf>
    <xf numFmtId="165" fontId="6" fillId="14" borderId="0" xfId="10" applyFont="1" applyFill="1"/>
    <xf numFmtId="0" fontId="57" fillId="0" borderId="1" xfId="0" applyFont="1" applyBorder="1"/>
    <xf numFmtId="165" fontId="7" fillId="10" borderId="2" xfId="10" applyFont="1" applyFill="1" applyBorder="1"/>
    <xf numFmtId="170" fontId="7" fillId="0" borderId="1" xfId="10" applyNumberFormat="1" applyFont="1" applyBorder="1"/>
    <xf numFmtId="0" fontId="7" fillId="0" borderId="0" xfId="0" applyFont="1" applyAlignment="1">
      <alignment horizontal="left" vertical="center"/>
    </xf>
    <xf numFmtId="165" fontId="49" fillId="0" borderId="1" xfId="10" applyFont="1" applyFill="1" applyBorder="1" applyAlignment="1">
      <alignment horizontal="center" vertical="center" wrapText="1"/>
    </xf>
    <xf numFmtId="165" fontId="49" fillId="0" borderId="1" xfId="10" applyFont="1" applyFill="1" applyBorder="1"/>
    <xf numFmtId="165" fontId="49" fillId="14" borderId="1" xfId="10" applyFont="1" applyFill="1" applyBorder="1"/>
    <xf numFmtId="2" fontId="52" fillId="0" borderId="1" xfId="10" applyNumberFormat="1" applyFont="1" applyFill="1" applyBorder="1"/>
    <xf numFmtId="165" fontId="60" fillId="0" borderId="1" xfId="10" applyFont="1" applyFill="1" applyBorder="1"/>
    <xf numFmtId="165" fontId="52" fillId="10" borderId="23" xfId="10" applyFont="1" applyFill="1" applyBorder="1"/>
    <xf numFmtId="165" fontId="49" fillId="0" borderId="18" xfId="10" applyFont="1" applyFill="1" applyBorder="1"/>
    <xf numFmtId="165" fontId="52" fillId="10" borderId="1" xfId="10" applyFont="1" applyFill="1" applyBorder="1"/>
    <xf numFmtId="165" fontId="49" fillId="14" borderId="18" xfId="10" applyFont="1" applyFill="1" applyBorder="1"/>
    <xf numFmtId="165" fontId="52" fillId="0" borderId="16" xfId="10" applyFont="1" applyFill="1" applyBorder="1"/>
    <xf numFmtId="165" fontId="52" fillId="0" borderId="1" xfId="10" applyFont="1" applyFill="1" applyBorder="1" applyAlignment="1">
      <alignment horizontal="right"/>
    </xf>
    <xf numFmtId="165" fontId="49" fillId="0" borderId="16" xfId="10" applyFont="1" applyFill="1" applyBorder="1"/>
    <xf numFmtId="165" fontId="60" fillId="0" borderId="1" xfId="10" applyFont="1" applyBorder="1"/>
    <xf numFmtId="165" fontId="60" fillId="14" borderId="1" xfId="10" applyFont="1" applyFill="1" applyBorder="1"/>
    <xf numFmtId="165" fontId="61" fillId="14" borderId="18" xfId="10" applyFont="1" applyFill="1" applyBorder="1"/>
    <xf numFmtId="165" fontId="52" fillId="14" borderId="1" xfId="10" applyFont="1" applyFill="1" applyBorder="1"/>
    <xf numFmtId="165" fontId="60" fillId="0" borderId="16" xfId="10" applyFont="1" applyFill="1" applyBorder="1"/>
    <xf numFmtId="165" fontId="61" fillId="0" borderId="1" xfId="10" applyFont="1" applyFill="1" applyBorder="1"/>
    <xf numFmtId="165" fontId="61" fillId="14" borderId="1" xfId="10" applyFont="1" applyFill="1" applyBorder="1"/>
    <xf numFmtId="165" fontId="19" fillId="0" borderId="16" xfId="10" applyFont="1" applyFill="1" applyBorder="1"/>
    <xf numFmtId="165" fontId="52" fillId="10" borderId="2" xfId="10" applyFont="1" applyFill="1" applyBorder="1"/>
    <xf numFmtId="0" fontId="62" fillId="0" borderId="1" xfId="0" applyFont="1" applyBorder="1"/>
    <xf numFmtId="165" fontId="63" fillId="0" borderId="0" xfId="10" applyFont="1" applyFill="1" applyBorder="1"/>
    <xf numFmtId="165" fontId="60" fillId="0" borderId="0" xfId="10" applyFont="1"/>
    <xf numFmtId="4" fontId="55" fillId="0" borderId="0" xfId="0" applyNumberFormat="1" applyFont="1" applyFill="1"/>
    <xf numFmtId="165" fontId="7" fillId="0" borderId="23" xfId="10" applyFont="1" applyFill="1" applyBorder="1"/>
    <xf numFmtId="4" fontId="59" fillId="0" borderId="1" xfId="0" applyNumberFormat="1" applyFont="1" applyFill="1" applyBorder="1"/>
    <xf numFmtId="0" fontId="59" fillId="0" borderId="1" xfId="0" applyFont="1" applyFill="1" applyBorder="1"/>
    <xf numFmtId="4" fontId="59" fillId="0" borderId="0" xfId="0" applyNumberFormat="1" applyFont="1" applyFill="1"/>
    <xf numFmtId="165" fontId="6" fillId="0" borderId="1" xfId="0" applyNumberFormat="1" applyFont="1" applyFill="1" applyBorder="1" applyAlignment="1">
      <alignment horizontal="center"/>
    </xf>
    <xf numFmtId="165" fontId="50" fillId="0" borderId="18" xfId="10" applyFont="1" applyFill="1" applyBorder="1"/>
    <xf numFmtId="165" fontId="6" fillId="0" borderId="24" xfId="10" applyFont="1" applyFill="1" applyBorder="1"/>
    <xf numFmtId="0" fontId="59" fillId="0" borderId="0" xfId="0" applyFont="1" applyFill="1"/>
    <xf numFmtId="165" fontId="7" fillId="0" borderId="2" xfId="10" applyFont="1" applyFill="1" applyBorder="1"/>
    <xf numFmtId="0" fontId="57" fillId="0" borderId="1" xfId="0" applyFont="1" applyFill="1" applyBorder="1"/>
    <xf numFmtId="165" fontId="19" fillId="0" borderId="0" xfId="10" applyFont="1" applyFill="1"/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49" fontId="6" fillId="13" borderId="0" xfId="10" applyNumberFormat="1" applyFont="1" applyFill="1" applyBorder="1" applyAlignment="1">
      <alignment horizontal="center" wrapText="1"/>
    </xf>
    <xf numFmtId="165" fontId="7" fillId="0" borderId="0" xfId="1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32" fillId="11" borderId="16" xfId="0" applyFont="1" applyFill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11" borderId="18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165" fontId="32" fillId="11" borderId="1" xfId="1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66FFCC"/>
      <color rgb="FF3399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C"/>
              <a:t>INGRESOS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INGRESOS!$O$5:$R$5</c:f>
              <c:strCache>
                <c:ptCount val="4"/>
                <c:pt idx="0">
                  <c:v>TOTAL MEF </c:v>
                </c:pt>
                <c:pt idx="1">
                  <c:v>GASTO CORRIENTE </c:v>
                </c:pt>
                <c:pt idx="2">
                  <c:v>GASTO INVERSION</c:v>
                </c:pt>
                <c:pt idx="3">
                  <c:v>10 % GRUPOS PRIORITARIOS</c:v>
                </c:pt>
              </c:strCache>
            </c:strRef>
          </c:cat>
          <c:val>
            <c:numRef>
              <c:f>INGRESOS!$O$6:$R$6</c:f>
              <c:numCache>
                <c:formatCode>_ * #,##0.00_ ;_ * \-#,##0.00_ ;_ * "-"??_ ;_ @_ </c:formatCode>
                <c:ptCount val="4"/>
                <c:pt idx="0" formatCode="#,##0.00">
                  <c:v>159567.44</c:v>
                </c:pt>
                <c:pt idx="1">
                  <c:v>68000</c:v>
                </c:pt>
                <c:pt idx="2" formatCode="#,##0.00">
                  <c:v>91567.44</c:v>
                </c:pt>
                <c:pt idx="3" formatCode="General">
                  <c:v>15956.744000000001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2-4F24-846C-8D0B3DCC16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481607680"/>
        <c:axId val="481606112"/>
      </c:barChart>
      <c:catAx>
        <c:axId val="48160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1606112"/>
        <c:crosses val="autoZero"/>
        <c:auto val="1"/>
        <c:lblAlgn val="ctr"/>
        <c:lblOffset val="100"/>
        <c:noMultiLvlLbl val="0"/>
      </c:catAx>
      <c:valAx>
        <c:axId val="4816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16076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D9-44B7-8FD8-46C0782C3F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D9-44B7-8FD8-46C0782C3F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D9-44B7-8FD8-46C0782C3F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9D9-44B7-8FD8-46C0782C3F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9D9-44B7-8FD8-46C0782C3F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9D9-44B7-8FD8-46C0782C3F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9D9-44B7-8FD8-46C0782C3FC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9D9-44B7-8FD8-46C0782C3FC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9D9-44B7-8FD8-46C0782C3FC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9D9-44B7-8FD8-46C0782C3FC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F09-4138-85B7-C3D189AD66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F09-4138-85B7-C3D189AD66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F09-4138-85B7-C3D189AD66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F09-4138-85B7-C3D189AD66C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F09-4138-85B7-C3D189AD66C8}"/>
              </c:ext>
            </c:extLst>
          </c:dPt>
          <c:cat>
            <c:numRef>
              <c:f>PARTICIPATIVO!$E$63:$E$77</c:f>
              <c:numCache>
                <c:formatCode>_(* #,##0.00_);_(* \(#,##0.00\);_(* "-"??_);_(@_)</c:formatCode>
                <c:ptCount val="15"/>
              </c:numCache>
            </c:numRef>
          </c:cat>
          <c:val>
            <c:numRef>
              <c:f>PARTICIPATIVO!$F$63:$F$77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9D9-44B7-8FD8-46C0782C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605328"/>
        <c:axId val="481605720"/>
      </c:barChart>
      <c:catAx>
        <c:axId val="4816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1605720"/>
        <c:crosses val="autoZero"/>
        <c:auto val="1"/>
        <c:lblAlgn val="ctr"/>
        <c:lblOffset val="100"/>
        <c:noMultiLvlLbl val="0"/>
      </c:catAx>
      <c:valAx>
        <c:axId val="48160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160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INGRESOS Y GASTOS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DF-43C8-827A-127A69359D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DF-43C8-827A-127A69359D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Hoja2!$E$16:$E$18</c:f>
              <c:strCache>
                <c:ptCount val="3"/>
                <c:pt idx="0">
                  <c:v>INGRESOS </c:v>
                </c:pt>
                <c:pt idx="1">
                  <c:v>GASTO INVERSION</c:v>
                </c:pt>
                <c:pt idx="2">
                  <c:v>GASTO CORRIENTE</c:v>
                </c:pt>
              </c:strCache>
            </c:strRef>
          </c:cat>
          <c:val>
            <c:numRef>
              <c:f>Hoja2!$F$16:$F$18</c:f>
              <c:numCache>
                <c:formatCode>General</c:formatCode>
                <c:ptCount val="3"/>
                <c:pt idx="0" formatCode="_ * #,##0.00_ ;_ * \-#,##0.00_ ;_ * &quot;-&quot;??_ ;_ @_ ">
                  <c:v>295456.19</c:v>
                </c:pt>
                <c:pt idx="1">
                  <c:v>297159.27999999997</c:v>
                </c:pt>
                <c:pt idx="2">
                  <c:v>64306.075400000002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DF-43C8-827A-127A6935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545592"/>
        <c:axId val="536263112"/>
      </c:barChart>
      <c:catAx>
        <c:axId val="11754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36263112"/>
        <c:crosses val="autoZero"/>
        <c:auto val="1"/>
        <c:lblAlgn val="ctr"/>
        <c:lblOffset val="100"/>
        <c:noMultiLvlLbl val="0"/>
      </c:catAx>
      <c:valAx>
        <c:axId val="536263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minorTickMark val="none"/>
        <c:tickLblPos val="nextTo"/>
        <c:crossAx val="11754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Atención</a:t>
            </a:r>
            <a:r>
              <a:rPr lang="es-EC" baseline="0"/>
              <a:t> a Grupos Vulnerables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1724759405074366"/>
          <c:y val="0.12078703703703704"/>
          <c:w val="0.85219685039370074"/>
          <c:h val="0.72095691163604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71C-475E-AF15-9D33AA732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71C-475E-AF15-9D33AA732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(Hoja2!$E$17,Hoja2!$E$21:$E$22)</c:f>
              <c:strCache>
                <c:ptCount val="3"/>
                <c:pt idx="0">
                  <c:v>GASTO INVERSION</c:v>
                </c:pt>
                <c:pt idx="1">
                  <c:v>NINOS, NIÑAS Y ADOLESCENTES</c:v>
                </c:pt>
                <c:pt idx="2">
                  <c:v>ATENCION ADULTO MAYOR</c:v>
                </c:pt>
              </c:strCache>
            </c:strRef>
          </c:cat>
          <c:val>
            <c:numRef>
              <c:f>(Hoja2!$F$17,Hoja2!$F$21:$F$22)</c:f>
              <c:numCache>
                <c:formatCode>General</c:formatCode>
                <c:ptCount val="3"/>
                <c:pt idx="0">
                  <c:v>297159.27999999997</c:v>
                </c:pt>
                <c:pt idx="1">
                  <c:v>9500</c:v>
                </c:pt>
                <c:pt idx="2">
                  <c:v>8615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71C-475E-AF15-9D33AA732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261152"/>
        <c:axId val="536263504"/>
      </c:barChart>
      <c:catAx>
        <c:axId val="5362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36263504"/>
        <c:crosses val="autoZero"/>
        <c:auto val="1"/>
        <c:lblAlgn val="ctr"/>
        <c:lblOffset val="100"/>
        <c:noMultiLvlLbl val="0"/>
      </c:catAx>
      <c:valAx>
        <c:axId val="5362635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626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Gastos de Inversión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B9-4271-AD62-A2A8BE79DE7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B9-4271-AD62-A2A8BE79DE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B9-4271-AD62-A2A8BE79DE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B9-4271-AD62-A2A8BE79DE7D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B9-4271-AD62-A2A8BE79DE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3B9-4271-AD62-A2A8BE79D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Hoja2!$B$7:$B$14</c:f>
              <c:strCache>
                <c:ptCount val="8"/>
                <c:pt idx="0">
                  <c:v>Infraestructura</c:v>
                </c:pt>
                <c:pt idx="1">
                  <c:v>Mantenimiento vial</c:v>
                </c:pt>
                <c:pt idx="2">
                  <c:v>Actualización Estudios</c:v>
                </c:pt>
                <c:pt idx="3">
                  <c:v>Producción y Manejo Frutales</c:v>
                </c:pt>
                <c:pt idx="4">
                  <c:v>Identidad Cultural</c:v>
                </c:pt>
                <c:pt idx="5">
                  <c:v>Turismo</c:v>
                </c:pt>
                <c:pt idx="6">
                  <c:v>Sevicios Generales</c:v>
                </c:pt>
                <c:pt idx="7">
                  <c:v>Gastos de financiamiento</c:v>
                </c:pt>
              </c:strCache>
            </c:strRef>
          </c:cat>
          <c:val>
            <c:numRef>
              <c:f>Hoja2!$C$7:$C$14</c:f>
              <c:numCache>
                <c:formatCode>General</c:formatCode>
                <c:ptCount val="8"/>
                <c:pt idx="0">
                  <c:v>91419.26999999999</c:v>
                </c:pt>
                <c:pt idx="1">
                  <c:v>58671.81</c:v>
                </c:pt>
                <c:pt idx="2">
                  <c:v>25554.93</c:v>
                </c:pt>
                <c:pt idx="3">
                  <c:v>10000</c:v>
                </c:pt>
                <c:pt idx="4">
                  <c:v>9000</c:v>
                </c:pt>
                <c:pt idx="5">
                  <c:v>6000</c:v>
                </c:pt>
                <c:pt idx="6">
                  <c:v>10726.46</c:v>
                </c:pt>
                <c:pt idx="7">
                  <c:v>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3B9-4271-AD62-A2A8BE79D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263896"/>
        <c:axId val="536264288"/>
      </c:barChart>
      <c:catAx>
        <c:axId val="53626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36264288"/>
        <c:crosses val="autoZero"/>
        <c:auto val="1"/>
        <c:lblAlgn val="ctr"/>
        <c:lblOffset val="100"/>
        <c:noMultiLvlLbl val="0"/>
      </c:catAx>
      <c:valAx>
        <c:axId val="5362642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626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940593</xdr:colOff>
      <xdr:row>21</xdr:row>
      <xdr:rowOff>188119</xdr:rowOff>
    </xdr:from>
    <xdr:to>
      <xdr:col>21</xdr:col>
      <xdr:colOff>83343</xdr:colOff>
      <xdr:row>33</xdr:row>
      <xdr:rowOff>85726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80</xdr:row>
      <xdr:rowOff>166008</xdr:rowOff>
    </xdr:from>
    <xdr:to>
      <xdr:col>11</xdr:col>
      <xdr:colOff>238125</xdr:colOff>
      <xdr:row>91</xdr:row>
      <xdr:rowOff>541565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14287</xdr:rowOff>
    </xdr:from>
    <xdr:to>
      <xdr:col>12</xdr:col>
      <xdr:colOff>47625</xdr:colOff>
      <xdr:row>15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</xdr:row>
      <xdr:rowOff>176212</xdr:rowOff>
    </xdr:from>
    <xdr:to>
      <xdr:col>10</xdr:col>
      <xdr:colOff>514350</xdr:colOff>
      <xdr:row>13</xdr:row>
      <xdr:rowOff>90487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</xdr:colOff>
      <xdr:row>0</xdr:row>
      <xdr:rowOff>0</xdr:rowOff>
    </xdr:from>
    <xdr:to>
      <xdr:col>6</xdr:col>
      <xdr:colOff>747712</xdr:colOff>
      <xdr:row>11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U90"/>
  <sheetViews>
    <sheetView topLeftCell="A40" zoomScale="80" zoomScaleNormal="80" zoomScaleSheetLayoutView="85" workbookViewId="0">
      <selection sqref="A1:N57"/>
    </sheetView>
  </sheetViews>
  <sheetFormatPr baseColWidth="10" defaultColWidth="11.44140625" defaultRowHeight="13.8" x14ac:dyDescent="0.25"/>
  <cols>
    <col min="1" max="1" width="14.33203125" style="81" customWidth="1"/>
    <col min="2" max="2" width="73.44140625" style="1" customWidth="1"/>
    <col min="3" max="3" width="14.44140625" style="1" hidden="1" customWidth="1"/>
    <col min="4" max="8" width="14.44140625" style="2" hidden="1" customWidth="1"/>
    <col min="9" max="9" width="17.109375" style="2" customWidth="1"/>
    <col min="10" max="10" width="16.88671875" style="4" bestFit="1" customWidth="1"/>
    <col min="11" max="14" width="16.88671875" style="4" customWidth="1"/>
    <col min="15" max="15" width="16.88671875" style="1" bestFit="1" customWidth="1"/>
    <col min="16" max="16" width="15.5546875" style="1" bestFit="1" customWidth="1"/>
    <col min="17" max="17" width="16.109375" style="1" customWidth="1"/>
    <col min="18" max="18" width="15.5546875" style="1" bestFit="1" customWidth="1"/>
    <col min="19" max="16384" width="11.44140625" style="1"/>
  </cols>
  <sheetData>
    <row r="1" spans="1:18" ht="20.399999999999999" x14ac:dyDescent="0.5">
      <c r="A1" s="433" t="s">
        <v>178</v>
      </c>
      <c r="B1" s="433"/>
      <c r="C1" s="433"/>
      <c r="D1" s="433"/>
      <c r="E1" s="433"/>
      <c r="F1" s="433"/>
      <c r="G1" s="433"/>
      <c r="H1" s="433"/>
      <c r="I1" s="433"/>
      <c r="J1" s="433"/>
      <c r="K1" s="341"/>
      <c r="L1" s="341"/>
      <c r="M1" s="341"/>
      <c r="N1" s="341"/>
    </row>
    <row r="2" spans="1:18" ht="18.75" customHeight="1" x14ac:dyDescent="0.25">
      <c r="A2" s="434" t="s">
        <v>609</v>
      </c>
      <c r="B2" s="434"/>
      <c r="C2" s="434"/>
      <c r="D2" s="434"/>
      <c r="E2" s="434"/>
      <c r="F2" s="434"/>
      <c r="G2" s="434"/>
      <c r="H2" s="434"/>
      <c r="I2" s="434"/>
      <c r="J2" s="434"/>
      <c r="K2" s="342"/>
      <c r="L2" s="342"/>
      <c r="M2" s="342"/>
      <c r="N2" s="342"/>
    </row>
    <row r="3" spans="1:18" ht="15" customHeigh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342"/>
      <c r="L3" s="342"/>
      <c r="M3" s="342"/>
      <c r="N3" s="342"/>
    </row>
    <row r="4" spans="1:18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342"/>
      <c r="L4" s="342"/>
      <c r="M4" s="342"/>
      <c r="N4" s="342"/>
    </row>
    <row r="5" spans="1:18" ht="55.2" x14ac:dyDescent="0.25">
      <c r="A5" s="308" t="s">
        <v>177</v>
      </c>
      <c r="B5" s="309" t="s">
        <v>14</v>
      </c>
      <c r="C5" s="309">
        <v>2015</v>
      </c>
      <c r="D5" s="309">
        <v>2016</v>
      </c>
      <c r="E5" s="309">
        <v>2017</v>
      </c>
      <c r="F5" s="309">
        <v>2018</v>
      </c>
      <c r="G5" s="309">
        <v>2019</v>
      </c>
      <c r="H5" s="309">
        <v>2020</v>
      </c>
      <c r="I5" s="309" t="s">
        <v>610</v>
      </c>
      <c r="J5" s="309" t="s">
        <v>611</v>
      </c>
      <c r="K5" s="309" t="s">
        <v>544</v>
      </c>
      <c r="L5" s="309" t="s">
        <v>545</v>
      </c>
      <c r="M5" s="309" t="s">
        <v>555</v>
      </c>
      <c r="N5" s="309" t="s">
        <v>546</v>
      </c>
      <c r="O5" s="3" t="s">
        <v>458</v>
      </c>
      <c r="P5" s="335" t="s">
        <v>459</v>
      </c>
      <c r="Q5" s="335" t="s">
        <v>440</v>
      </c>
      <c r="R5" s="335" t="s">
        <v>460</v>
      </c>
    </row>
    <row r="6" spans="1:18" s="8" customFormat="1" x14ac:dyDescent="0.25">
      <c r="A6" s="310">
        <v>1</v>
      </c>
      <c r="B6" s="311" t="s">
        <v>13</v>
      </c>
      <c r="C6" s="312">
        <f>+C22+C26</f>
        <v>53114.450000000004</v>
      </c>
      <c r="D6" s="312">
        <f>+D22+D26</f>
        <v>55002.15</v>
      </c>
      <c r="E6" s="312">
        <f>+E22+E26</f>
        <v>63135.01</v>
      </c>
      <c r="F6" s="312">
        <f>+F22+F26</f>
        <v>67064.789999999994</v>
      </c>
      <c r="G6" s="312">
        <f>+G22+G26</f>
        <v>60937.61</v>
      </c>
      <c r="H6" s="312"/>
      <c r="I6" s="312">
        <f>+I22+I26</f>
        <v>68285.36</v>
      </c>
      <c r="J6" s="313">
        <f>J22+J26</f>
        <v>68285.36</v>
      </c>
      <c r="K6" s="313">
        <f>K22+K26</f>
        <v>8800</v>
      </c>
      <c r="L6" s="313">
        <f>L22+L26</f>
        <v>0</v>
      </c>
      <c r="M6" s="313"/>
      <c r="N6" s="313">
        <f>N22+N26</f>
        <v>77085.36</v>
      </c>
      <c r="O6" s="9">
        <f>J25+J35</f>
        <v>159567.44</v>
      </c>
      <c r="P6" s="338">
        <f>J23</f>
        <v>68000</v>
      </c>
      <c r="Q6" s="336">
        <f>J35</f>
        <v>91567.44</v>
      </c>
      <c r="R6" s="8">
        <f>O6*0.1</f>
        <v>15956.744000000001</v>
      </c>
    </row>
    <row r="7" spans="1:18" s="8" customFormat="1" hidden="1" x14ac:dyDescent="0.25">
      <c r="A7" s="310"/>
      <c r="B7" s="311" t="s">
        <v>139</v>
      </c>
      <c r="C7" s="311"/>
      <c r="D7" s="313"/>
      <c r="E7" s="313"/>
      <c r="F7" s="313"/>
      <c r="G7" s="314"/>
      <c r="H7" s="314"/>
      <c r="I7" s="313"/>
      <c r="J7" s="314"/>
      <c r="K7" s="314"/>
      <c r="L7" s="314"/>
      <c r="M7" s="314"/>
      <c r="N7" s="314"/>
    </row>
    <row r="8" spans="1:18" s="7" customFormat="1" hidden="1" x14ac:dyDescent="0.25">
      <c r="A8" s="315" t="s">
        <v>119</v>
      </c>
      <c r="B8" s="316" t="s">
        <v>140</v>
      </c>
      <c r="C8" s="316"/>
      <c r="D8" s="317"/>
      <c r="E8" s="317"/>
      <c r="F8" s="317"/>
      <c r="G8" s="226"/>
      <c r="H8" s="226"/>
      <c r="I8" s="317"/>
      <c r="J8" s="226"/>
      <c r="K8" s="226"/>
      <c r="L8" s="226"/>
      <c r="M8" s="226"/>
      <c r="N8" s="226"/>
    </row>
    <row r="9" spans="1:18" ht="14.25" hidden="1" customHeight="1" x14ac:dyDescent="0.25">
      <c r="A9" s="318" t="s">
        <v>120</v>
      </c>
      <c r="B9" s="319" t="s">
        <v>12</v>
      </c>
      <c r="C9" s="319"/>
      <c r="D9" s="320"/>
      <c r="E9" s="320"/>
      <c r="F9" s="320"/>
      <c r="G9" s="228"/>
      <c r="H9" s="228"/>
      <c r="I9" s="320"/>
      <c r="J9" s="64"/>
      <c r="K9" s="64"/>
      <c r="L9" s="64"/>
      <c r="M9" s="64"/>
      <c r="N9" s="64"/>
    </row>
    <row r="10" spans="1:18" ht="14.25" hidden="1" customHeight="1" x14ac:dyDescent="0.25">
      <c r="A10" s="321" t="s">
        <v>121</v>
      </c>
      <c r="B10" s="322" t="s">
        <v>11</v>
      </c>
      <c r="C10" s="322"/>
      <c r="D10" s="323"/>
      <c r="E10" s="323"/>
      <c r="F10" s="323"/>
      <c r="G10" s="228"/>
      <c r="H10" s="228"/>
      <c r="I10" s="323"/>
      <c r="J10" s="64"/>
      <c r="K10" s="64"/>
      <c r="L10" s="64"/>
      <c r="M10" s="64"/>
      <c r="N10" s="64"/>
    </row>
    <row r="11" spans="1:18" ht="14.25" hidden="1" customHeight="1" x14ac:dyDescent="0.25">
      <c r="A11" s="321" t="s">
        <v>122</v>
      </c>
      <c r="B11" s="322" t="s">
        <v>10</v>
      </c>
      <c r="C11" s="322"/>
      <c r="D11" s="323"/>
      <c r="E11" s="323"/>
      <c r="F11" s="323"/>
      <c r="G11" s="228"/>
      <c r="H11" s="228"/>
      <c r="I11" s="323"/>
      <c r="J11" s="64"/>
      <c r="K11" s="64"/>
      <c r="L11" s="64"/>
      <c r="M11" s="64"/>
      <c r="N11" s="64"/>
    </row>
    <row r="12" spans="1:18" s="7" customFormat="1" hidden="1" x14ac:dyDescent="0.25">
      <c r="A12" s="315" t="s">
        <v>123</v>
      </c>
      <c r="B12" s="316" t="s">
        <v>141</v>
      </c>
      <c r="C12" s="316"/>
      <c r="D12" s="317"/>
      <c r="E12" s="317"/>
      <c r="F12" s="317"/>
      <c r="G12" s="226"/>
      <c r="H12" s="226"/>
      <c r="I12" s="317"/>
      <c r="J12" s="226"/>
      <c r="K12" s="226"/>
      <c r="L12" s="226"/>
      <c r="M12" s="226"/>
      <c r="N12" s="226"/>
    </row>
    <row r="13" spans="1:18" hidden="1" x14ac:dyDescent="0.25">
      <c r="A13" s="324" t="s">
        <v>124</v>
      </c>
      <c r="B13" s="319" t="s">
        <v>9</v>
      </c>
      <c r="C13" s="319"/>
      <c r="D13" s="323"/>
      <c r="E13" s="323"/>
      <c r="F13" s="323"/>
      <c r="G13" s="228"/>
      <c r="H13" s="228"/>
      <c r="I13" s="323"/>
      <c r="J13" s="64"/>
      <c r="K13" s="64"/>
      <c r="L13" s="64"/>
      <c r="M13" s="64"/>
      <c r="N13" s="64"/>
    </row>
    <row r="14" spans="1:18" hidden="1" x14ac:dyDescent="0.25">
      <c r="A14" s="325" t="s">
        <v>125</v>
      </c>
      <c r="B14" s="322" t="s">
        <v>142</v>
      </c>
      <c r="C14" s="322"/>
      <c r="D14" s="323"/>
      <c r="E14" s="323"/>
      <c r="F14" s="323"/>
      <c r="G14" s="228"/>
      <c r="H14" s="228"/>
      <c r="I14" s="323"/>
      <c r="J14" s="64"/>
      <c r="K14" s="64"/>
      <c r="L14" s="64"/>
      <c r="M14" s="64"/>
      <c r="N14" s="64"/>
    </row>
    <row r="15" spans="1:18" hidden="1" x14ac:dyDescent="0.25">
      <c r="A15" s="325" t="s">
        <v>143</v>
      </c>
      <c r="B15" s="322" t="s">
        <v>72</v>
      </c>
      <c r="C15" s="322"/>
      <c r="D15" s="323"/>
      <c r="E15" s="323"/>
      <c r="F15" s="323"/>
      <c r="G15" s="228"/>
      <c r="H15" s="228"/>
      <c r="I15" s="323"/>
      <c r="J15" s="64"/>
      <c r="K15" s="64"/>
      <c r="L15" s="64"/>
      <c r="M15" s="64"/>
      <c r="N15" s="64"/>
      <c r="O15" s="84"/>
      <c r="P15" s="84"/>
      <c r="Q15" s="84"/>
      <c r="R15" s="84"/>
    </row>
    <row r="16" spans="1:18" x14ac:dyDescent="0.25">
      <c r="A16" s="325"/>
      <c r="B16" s="311" t="s">
        <v>144</v>
      </c>
      <c r="C16" s="311"/>
      <c r="D16" s="323"/>
      <c r="E16" s="323"/>
      <c r="F16" s="323"/>
      <c r="G16" s="228"/>
      <c r="H16" s="228"/>
      <c r="I16" s="323"/>
      <c r="J16" s="64"/>
      <c r="K16" s="64"/>
      <c r="L16" s="64"/>
      <c r="M16" s="64"/>
      <c r="N16" s="64"/>
      <c r="O16" s="84"/>
      <c r="P16" s="84"/>
      <c r="Q16" s="84"/>
      <c r="R16" s="84"/>
    </row>
    <row r="17" spans="1:21" s="7" customFormat="1" ht="15.75" hidden="1" customHeight="1" x14ac:dyDescent="0.25">
      <c r="A17" s="315" t="s">
        <v>126</v>
      </c>
      <c r="B17" s="316" t="s">
        <v>145</v>
      </c>
      <c r="C17" s="316"/>
      <c r="D17" s="317"/>
      <c r="E17" s="317"/>
      <c r="F17" s="317"/>
      <c r="G17" s="226"/>
      <c r="H17" s="226"/>
      <c r="I17" s="317"/>
      <c r="J17" s="226"/>
      <c r="K17" s="226"/>
      <c r="L17" s="226"/>
      <c r="M17" s="226"/>
      <c r="N17" s="226"/>
    </row>
    <row r="18" spans="1:21" s="7" customFormat="1" ht="15.75" hidden="1" customHeight="1" x14ac:dyDescent="0.25">
      <c r="A18" s="324" t="s">
        <v>146</v>
      </c>
      <c r="B18" s="319" t="s">
        <v>147</v>
      </c>
      <c r="C18" s="319"/>
      <c r="D18" s="317"/>
      <c r="E18" s="317"/>
      <c r="F18" s="317"/>
      <c r="G18" s="226"/>
      <c r="H18" s="226"/>
      <c r="I18" s="317"/>
      <c r="J18" s="226"/>
      <c r="K18" s="226"/>
      <c r="L18" s="226"/>
      <c r="M18" s="226"/>
      <c r="N18" s="226"/>
    </row>
    <row r="19" spans="1:21" s="7" customFormat="1" ht="15.75" hidden="1" customHeight="1" x14ac:dyDescent="0.25">
      <c r="A19" s="325" t="s">
        <v>148</v>
      </c>
      <c r="B19" s="322" t="s">
        <v>149</v>
      </c>
      <c r="C19" s="322"/>
      <c r="D19" s="317"/>
      <c r="E19" s="317"/>
      <c r="F19" s="317"/>
      <c r="G19" s="226"/>
      <c r="H19" s="226"/>
      <c r="I19" s="317"/>
      <c r="J19" s="226"/>
      <c r="K19" s="226"/>
      <c r="L19" s="226"/>
      <c r="M19" s="226"/>
      <c r="N19" s="226"/>
    </row>
    <row r="20" spans="1:21" s="2" customFormat="1" ht="15.75" hidden="1" customHeight="1" x14ac:dyDescent="0.25">
      <c r="A20" s="324" t="s">
        <v>127</v>
      </c>
      <c r="B20" s="319" t="s">
        <v>8</v>
      </c>
      <c r="C20" s="319"/>
      <c r="D20" s="320"/>
      <c r="E20" s="320"/>
      <c r="F20" s="320"/>
      <c r="G20" s="228"/>
      <c r="H20" s="228"/>
      <c r="I20" s="320"/>
      <c r="J20" s="228"/>
      <c r="K20" s="228"/>
      <c r="L20" s="228"/>
      <c r="M20" s="228"/>
      <c r="N20" s="228"/>
      <c r="O20" s="9"/>
    </row>
    <row r="21" spans="1:21" ht="15" hidden="1" customHeight="1" x14ac:dyDescent="0.25">
      <c r="A21" s="325" t="s">
        <v>128</v>
      </c>
      <c r="B21" s="322" t="s">
        <v>7</v>
      </c>
      <c r="C21" s="322"/>
      <c r="D21" s="323"/>
      <c r="E21" s="323"/>
      <c r="F21" s="323"/>
      <c r="G21" s="228"/>
      <c r="H21" s="228"/>
      <c r="I21" s="323"/>
      <c r="J21" s="64"/>
      <c r="K21" s="64"/>
      <c r="L21" s="64"/>
      <c r="M21" s="64"/>
      <c r="N21" s="64"/>
    </row>
    <row r="22" spans="1:21" s="7" customFormat="1" x14ac:dyDescent="0.25">
      <c r="A22" s="315">
        <v>1.8</v>
      </c>
      <c r="B22" s="316" t="s">
        <v>150</v>
      </c>
      <c r="C22" s="317">
        <f>+C23</f>
        <v>51540.54</v>
      </c>
      <c r="D22" s="317">
        <f>+D23</f>
        <v>54045.15</v>
      </c>
      <c r="E22" s="317">
        <f>+E23</f>
        <v>62465.01</v>
      </c>
      <c r="F22" s="317">
        <f>+F23</f>
        <v>66416.67</v>
      </c>
      <c r="G22" s="226">
        <v>60744.42</v>
      </c>
      <c r="H22" s="226"/>
      <c r="I22" s="317">
        <f>I23</f>
        <v>68000</v>
      </c>
      <c r="J22" s="317">
        <f>J23</f>
        <v>68000</v>
      </c>
      <c r="K22" s="317">
        <f>K23</f>
        <v>8500</v>
      </c>
      <c r="L22" s="317">
        <f>L23</f>
        <v>0</v>
      </c>
      <c r="M22" s="317"/>
      <c r="N22" s="317">
        <f>N23</f>
        <v>76500</v>
      </c>
    </row>
    <row r="23" spans="1:21" s="7" customFormat="1" ht="27.6" x14ac:dyDescent="0.25">
      <c r="A23" s="324" t="s">
        <v>157</v>
      </c>
      <c r="B23" s="319" t="s">
        <v>548</v>
      </c>
      <c r="C23" s="320">
        <f>+C24+C25</f>
        <v>51540.54</v>
      </c>
      <c r="D23" s="320">
        <f>+D24+D25</f>
        <v>54045.15</v>
      </c>
      <c r="E23" s="320">
        <f>+E24+E25</f>
        <v>62465.01</v>
      </c>
      <c r="F23" s="320">
        <f>+F24+F25</f>
        <v>66416.67</v>
      </c>
      <c r="G23" s="320">
        <f>+G24+G25</f>
        <v>60744.42</v>
      </c>
      <c r="H23" s="320"/>
      <c r="I23" s="320">
        <f>I25</f>
        <v>68000</v>
      </c>
      <c r="J23" s="320">
        <f>J25</f>
        <v>68000</v>
      </c>
      <c r="K23" s="320">
        <f>K25</f>
        <v>8500</v>
      </c>
      <c r="L23" s="320">
        <f>L25</f>
        <v>0</v>
      </c>
      <c r="M23" s="320"/>
      <c r="N23" s="320">
        <f>N25</f>
        <v>76500</v>
      </c>
    </row>
    <row r="24" spans="1:21" s="7" customFormat="1" x14ac:dyDescent="0.25">
      <c r="A24" s="325" t="s">
        <v>182</v>
      </c>
      <c r="B24" s="322" t="s">
        <v>183</v>
      </c>
      <c r="C24" s="322"/>
      <c r="D24" s="323"/>
      <c r="E24" s="323"/>
      <c r="F24" s="323"/>
      <c r="G24" s="226"/>
      <c r="H24" s="226"/>
      <c r="I24" s="323">
        <f ca="1">-I24</f>
        <v>0</v>
      </c>
      <c r="J24" s="229"/>
      <c r="K24" s="229"/>
      <c r="L24" s="229"/>
      <c r="M24" s="229"/>
      <c r="N24" s="229"/>
    </row>
    <row r="25" spans="1:21" s="2" customFormat="1" ht="27.6" x14ac:dyDescent="0.25">
      <c r="A25" s="325" t="s">
        <v>151</v>
      </c>
      <c r="B25" s="322" t="s">
        <v>549</v>
      </c>
      <c r="C25" s="322">
        <v>51540.54</v>
      </c>
      <c r="D25" s="323">
        <v>54045.15</v>
      </c>
      <c r="E25" s="323">
        <v>62465.01</v>
      </c>
      <c r="F25" s="323">
        <v>66416.67</v>
      </c>
      <c r="G25" s="228">
        <v>60744.42</v>
      </c>
      <c r="H25" s="228"/>
      <c r="I25" s="323">
        <v>68000</v>
      </c>
      <c r="J25" s="323">
        <v>68000</v>
      </c>
      <c r="K25" s="323">
        <v>8500</v>
      </c>
      <c r="L25" s="323"/>
      <c r="M25" s="323"/>
      <c r="N25" s="323">
        <f>+L25+K25+J25+M25</f>
        <v>76500</v>
      </c>
    </row>
    <row r="26" spans="1:21" s="7" customFormat="1" x14ac:dyDescent="0.25">
      <c r="A26" s="315">
        <v>1.9</v>
      </c>
      <c r="B26" s="316" t="s">
        <v>153</v>
      </c>
      <c r="C26" s="326">
        <f>+C27</f>
        <v>1573.91</v>
      </c>
      <c r="D26" s="317">
        <f t="shared" ref="C26:E27" si="0">+D27</f>
        <v>957</v>
      </c>
      <c r="E26" s="317">
        <f t="shared" si="0"/>
        <v>670</v>
      </c>
      <c r="F26" s="317">
        <f>+F27</f>
        <v>648.12</v>
      </c>
      <c r="G26" s="317">
        <f>G27</f>
        <v>193.19</v>
      </c>
      <c r="H26" s="317"/>
      <c r="I26" s="317">
        <f>+I27</f>
        <v>285.36</v>
      </c>
      <c r="J26" s="317">
        <f>J27</f>
        <v>285.36</v>
      </c>
      <c r="K26" s="317">
        <f>K27</f>
        <v>300</v>
      </c>
      <c r="L26" s="317"/>
      <c r="M26" s="317"/>
      <c r="N26" s="317">
        <f>N27</f>
        <v>585.36</v>
      </c>
      <c r="O26" s="277"/>
    </row>
    <row r="27" spans="1:21" s="3" customFormat="1" x14ac:dyDescent="0.25">
      <c r="A27" s="324" t="s">
        <v>129</v>
      </c>
      <c r="B27" s="319" t="s">
        <v>352</v>
      </c>
      <c r="C27" s="320">
        <f t="shared" si="0"/>
        <v>1573.91</v>
      </c>
      <c r="D27" s="320">
        <f t="shared" si="0"/>
        <v>957</v>
      </c>
      <c r="E27" s="320">
        <f t="shared" si="0"/>
        <v>670</v>
      </c>
      <c r="F27" s="320">
        <f>+F28</f>
        <v>648.12</v>
      </c>
      <c r="G27" s="65">
        <f>G28</f>
        <v>193.19</v>
      </c>
      <c r="H27" s="65"/>
      <c r="I27" s="320">
        <f>I28</f>
        <v>285.36</v>
      </c>
      <c r="J27" s="320">
        <f>J28</f>
        <v>285.36</v>
      </c>
      <c r="K27" s="320">
        <f>K28</f>
        <v>300</v>
      </c>
      <c r="L27" s="320"/>
      <c r="M27" s="320"/>
      <c r="N27" s="320">
        <f>N28</f>
        <v>585.36</v>
      </c>
    </row>
    <row r="28" spans="1:21" x14ac:dyDescent="0.25">
      <c r="A28" s="325" t="s">
        <v>130</v>
      </c>
      <c r="B28" s="322" t="s">
        <v>5</v>
      </c>
      <c r="C28" s="322">
        <v>1573.91</v>
      </c>
      <c r="D28" s="323">
        <v>957</v>
      </c>
      <c r="E28" s="323">
        <v>670</v>
      </c>
      <c r="F28" s="323">
        <v>648.12</v>
      </c>
      <c r="G28" s="228">
        <v>193.19</v>
      </c>
      <c r="H28" s="228">
        <v>46.96</v>
      </c>
      <c r="I28" s="323">
        <v>285.36</v>
      </c>
      <c r="J28" s="323">
        <v>285.36</v>
      </c>
      <c r="K28" s="323">
        <v>300</v>
      </c>
      <c r="L28" s="323"/>
      <c r="M28" s="323"/>
      <c r="N28" s="323">
        <f>+L28+K28+J28</f>
        <v>585.36</v>
      </c>
    </row>
    <row r="29" spans="1:21" s="2" customFormat="1" x14ac:dyDescent="0.25">
      <c r="A29" s="310">
        <v>2</v>
      </c>
      <c r="B29" s="311" t="s">
        <v>4</v>
      </c>
      <c r="C29" s="313">
        <f>+C30</f>
        <v>126954.71</v>
      </c>
      <c r="D29" s="313">
        <f>+D30</f>
        <v>134314.5</v>
      </c>
      <c r="E29" s="313">
        <f>+E30</f>
        <v>182672.27</v>
      </c>
      <c r="F29" s="313">
        <f>+F30</f>
        <v>122297.60000000001</v>
      </c>
      <c r="G29" s="313">
        <f>G30</f>
        <v>0</v>
      </c>
      <c r="H29" s="313"/>
      <c r="I29" s="313">
        <f>I30</f>
        <v>155609.28999999998</v>
      </c>
      <c r="J29" s="313">
        <f>J30</f>
        <v>158232.28</v>
      </c>
      <c r="K29" s="313">
        <f t="shared" ref="K29:N29" si="1">K30</f>
        <v>1690.62</v>
      </c>
      <c r="L29" s="313">
        <f t="shared" si="1"/>
        <v>0</v>
      </c>
      <c r="M29" s="313">
        <f t="shared" si="1"/>
        <v>0</v>
      </c>
      <c r="N29" s="313">
        <f t="shared" si="1"/>
        <v>159922.9</v>
      </c>
      <c r="O29" s="5"/>
    </row>
    <row r="30" spans="1:21" s="2" customFormat="1" ht="27.6" x14ac:dyDescent="0.25">
      <c r="A30" s="315">
        <v>2.8</v>
      </c>
      <c r="B30" s="316" t="s">
        <v>154</v>
      </c>
      <c r="C30" s="317">
        <f>+C31+C34+C36</f>
        <v>126954.71</v>
      </c>
      <c r="D30" s="317">
        <f>+D31+D34+D36</f>
        <v>134314.5</v>
      </c>
      <c r="E30" s="317">
        <f>+E31+E34+E36</f>
        <v>182672.27</v>
      </c>
      <c r="F30" s="317">
        <f>+F31+F34+F36</f>
        <v>122297.60000000001</v>
      </c>
      <c r="G30" s="317"/>
      <c r="H30" s="317"/>
      <c r="I30" s="317">
        <f>I31+I34+I36</f>
        <v>155609.28999999998</v>
      </c>
      <c r="J30" s="317">
        <f>J34+J36+J31</f>
        <v>158232.28</v>
      </c>
      <c r="K30" s="317">
        <f>K34+K36+K31</f>
        <v>1690.62</v>
      </c>
      <c r="L30" s="317"/>
      <c r="M30" s="317"/>
      <c r="N30" s="317">
        <f>N34+N36+N31</f>
        <v>159922.9</v>
      </c>
      <c r="O30" s="9"/>
    </row>
    <row r="31" spans="1:21" s="2" customFormat="1" x14ac:dyDescent="0.25">
      <c r="A31" s="324" t="s">
        <v>131</v>
      </c>
      <c r="B31" s="319" t="s">
        <v>132</v>
      </c>
      <c r="C31" s="320">
        <f>+C33</f>
        <v>42000</v>
      </c>
      <c r="D31" s="320">
        <f>+D33</f>
        <v>41914.339999999997</v>
      </c>
      <c r="E31" s="320">
        <f>+E33</f>
        <v>41414.339999999997</v>
      </c>
      <c r="F31" s="320">
        <f>+F33</f>
        <v>0</v>
      </c>
      <c r="G31" s="320"/>
      <c r="H31" s="320"/>
      <c r="I31" s="320">
        <f>I32+I33</f>
        <v>57664.840000000004</v>
      </c>
      <c r="J31" s="320">
        <f>J32+J33</f>
        <v>57664.840000000004</v>
      </c>
      <c r="K31" s="320">
        <f>K32+K33</f>
        <v>0</v>
      </c>
      <c r="L31" s="320"/>
      <c r="M31" s="320"/>
      <c r="N31" s="320">
        <f>N32+N33</f>
        <v>57664.840000000004</v>
      </c>
      <c r="Q31" s="9"/>
      <c r="U31" s="9"/>
    </row>
    <row r="32" spans="1:21" s="2" customFormat="1" x14ac:dyDescent="0.25">
      <c r="A32" s="325" t="s">
        <v>507</v>
      </c>
      <c r="B32" s="322" t="s">
        <v>288</v>
      </c>
      <c r="C32" s="322"/>
      <c r="D32" s="323">
        <v>0</v>
      </c>
      <c r="E32" s="323"/>
      <c r="F32" s="323"/>
      <c r="G32" s="323"/>
      <c r="H32" s="323"/>
      <c r="I32" s="304">
        <v>12883.76</v>
      </c>
      <c r="J32" s="327">
        <v>12883.76</v>
      </c>
      <c r="K32" s="327"/>
      <c r="L32" s="327"/>
      <c r="M32" s="327"/>
      <c r="N32" s="323">
        <f t="shared" ref="N32:N33" si="2">+L32+K32+J32+M32</f>
        <v>12883.76</v>
      </c>
    </row>
    <row r="33" spans="1:18" s="2" customFormat="1" x14ac:dyDescent="0.25">
      <c r="A33" s="325" t="s">
        <v>156</v>
      </c>
      <c r="B33" s="322" t="s">
        <v>550</v>
      </c>
      <c r="C33" s="322">
        <v>42000</v>
      </c>
      <c r="D33" s="323">
        <v>41914.339999999997</v>
      </c>
      <c r="E33" s="323">
        <v>41414.339999999997</v>
      </c>
      <c r="F33" s="323">
        <v>0</v>
      </c>
      <c r="G33" s="323"/>
      <c r="H33" s="323"/>
      <c r="I33" s="304">
        <v>44781.08</v>
      </c>
      <c r="J33" s="304">
        <v>44781.08</v>
      </c>
      <c r="K33" s="304"/>
      <c r="L33" s="304"/>
      <c r="M33" s="304"/>
      <c r="N33" s="323">
        <f t="shared" si="2"/>
        <v>44781.08</v>
      </c>
    </row>
    <row r="34" spans="1:18" s="2" customFormat="1" ht="43.2" customHeight="1" x14ac:dyDescent="0.25">
      <c r="A34" s="324" t="s">
        <v>133</v>
      </c>
      <c r="B34" s="328" t="s">
        <v>547</v>
      </c>
      <c r="C34" s="320">
        <f>+C35</f>
        <v>84954.71</v>
      </c>
      <c r="D34" s="320">
        <f>+D35</f>
        <v>86800.16</v>
      </c>
      <c r="E34" s="320">
        <f>+E35</f>
        <v>93691.65</v>
      </c>
      <c r="F34" s="320">
        <f>+F35</f>
        <v>93791.52</v>
      </c>
      <c r="G34" s="320">
        <f>G35</f>
        <v>87412.93</v>
      </c>
      <c r="H34" s="320"/>
      <c r="I34" s="320">
        <f>I35</f>
        <v>87450.4</v>
      </c>
      <c r="J34" s="320">
        <f>J35</f>
        <v>91567.44</v>
      </c>
      <c r="K34" s="320">
        <f>K35</f>
        <v>-1254.6300000000001</v>
      </c>
      <c r="L34" s="320"/>
      <c r="M34" s="320"/>
      <c r="N34" s="320">
        <f>N35</f>
        <v>90312.81</v>
      </c>
      <c r="O34" s="376"/>
    </row>
    <row r="35" spans="1:18" s="2" customFormat="1" ht="15.75" customHeight="1" x14ac:dyDescent="0.25">
      <c r="A35" s="325" t="s">
        <v>155</v>
      </c>
      <c r="B35" s="322" t="s">
        <v>152</v>
      </c>
      <c r="C35" s="322">
        <v>84954.71</v>
      </c>
      <c r="D35" s="323">
        <v>86800.16</v>
      </c>
      <c r="E35" s="323">
        <v>93691.65</v>
      </c>
      <c r="F35" s="323">
        <v>93791.52</v>
      </c>
      <c r="G35" s="323">
        <v>87412.93</v>
      </c>
      <c r="H35" s="323"/>
      <c r="I35" s="282">
        <v>87450.4</v>
      </c>
      <c r="J35" s="282">
        <v>91567.44</v>
      </c>
      <c r="K35" s="282">
        <v>-1254.6300000000001</v>
      </c>
      <c r="L35" s="282"/>
      <c r="M35" s="282"/>
      <c r="N35" s="323">
        <f>+L35+K35+J35+M35</f>
        <v>90312.81</v>
      </c>
    </row>
    <row r="36" spans="1:18" ht="27" customHeight="1" x14ac:dyDescent="0.25">
      <c r="A36" s="324" t="s">
        <v>354</v>
      </c>
      <c r="B36" s="306" t="s">
        <v>415</v>
      </c>
      <c r="C36" s="320">
        <f>+C37</f>
        <v>0</v>
      </c>
      <c r="D36" s="320">
        <f>+D37</f>
        <v>5600</v>
      </c>
      <c r="E36" s="320">
        <f>+E37</f>
        <v>47566.28</v>
      </c>
      <c r="F36" s="320">
        <f>+F37</f>
        <v>28506.080000000002</v>
      </c>
      <c r="G36" s="320">
        <f>G37</f>
        <v>9264.11</v>
      </c>
      <c r="H36" s="320"/>
      <c r="I36" s="283">
        <f>I37</f>
        <v>10494.05</v>
      </c>
      <c r="J36" s="320">
        <f>J37</f>
        <v>9000</v>
      </c>
      <c r="K36" s="320">
        <f>K37</f>
        <v>2945.25</v>
      </c>
      <c r="L36" s="320"/>
      <c r="M36" s="320"/>
      <c r="N36" s="320">
        <f>N37</f>
        <v>11945.25</v>
      </c>
    </row>
    <row r="37" spans="1:18" ht="29.4" customHeight="1" x14ac:dyDescent="0.25">
      <c r="A37" s="325" t="s">
        <v>355</v>
      </c>
      <c r="B37" s="307" t="s">
        <v>416</v>
      </c>
      <c r="C37" s="307"/>
      <c r="D37" s="323">
        <v>5600</v>
      </c>
      <c r="E37" s="323">
        <v>47566.28</v>
      </c>
      <c r="F37" s="323">
        <v>28506.080000000002</v>
      </c>
      <c r="G37" s="323">
        <v>9264.11</v>
      </c>
      <c r="H37" s="323"/>
      <c r="I37" s="282">
        <v>10494.05</v>
      </c>
      <c r="J37" s="323">
        <v>9000</v>
      </c>
      <c r="K37" s="323">
        <v>2945.25</v>
      </c>
      <c r="L37" s="323"/>
      <c r="M37" s="323"/>
      <c r="N37" s="323">
        <f>+L37+K37+J37+M37</f>
        <v>11945.25</v>
      </c>
      <c r="O37" s="379"/>
    </row>
    <row r="38" spans="1:18" ht="16.5" customHeight="1" x14ac:dyDescent="0.25">
      <c r="A38" s="325"/>
      <c r="B38" s="322"/>
      <c r="C38" s="322"/>
      <c r="D38" s="323"/>
      <c r="E38" s="323"/>
      <c r="F38" s="323"/>
      <c r="G38" s="323"/>
      <c r="H38" s="323"/>
      <c r="I38" s="323"/>
      <c r="J38" s="230"/>
      <c r="K38" s="230"/>
      <c r="L38" s="230"/>
      <c r="M38" s="230"/>
      <c r="N38" s="230"/>
      <c r="Q38" s="4"/>
    </row>
    <row r="39" spans="1:18" s="8" customFormat="1" ht="21.75" customHeight="1" x14ac:dyDescent="0.25">
      <c r="A39" s="311">
        <v>3</v>
      </c>
      <c r="B39" s="311" t="s">
        <v>3</v>
      </c>
      <c r="C39" s="329">
        <f ca="1">+C40+C45</f>
        <v>99010.91</v>
      </c>
      <c r="D39" s="329">
        <f ca="1">+D40+D45</f>
        <v>25656.22</v>
      </c>
      <c r="E39" s="329">
        <f ca="1">+E40+E45</f>
        <v>25656.22</v>
      </c>
      <c r="F39" s="329">
        <f ca="1">+F40+F45</f>
        <v>25656.22</v>
      </c>
      <c r="G39" s="329">
        <f>G40+G45</f>
        <v>19865.34</v>
      </c>
      <c r="H39" s="329"/>
      <c r="I39" s="329">
        <f>I40+I45</f>
        <v>22022.14</v>
      </c>
      <c r="J39" s="380">
        <f>J40+J45</f>
        <v>68938.55</v>
      </c>
      <c r="K39" s="380">
        <f t="shared" ref="K39:M39" si="3">K40+K45</f>
        <v>0</v>
      </c>
      <c r="L39" s="380">
        <f t="shared" si="3"/>
        <v>0</v>
      </c>
      <c r="M39" s="380">
        <f t="shared" si="3"/>
        <v>0</v>
      </c>
      <c r="N39" s="380">
        <f>N40+N45</f>
        <v>68938.55</v>
      </c>
      <c r="P39" s="338"/>
    </row>
    <row r="40" spans="1:18" s="7" customFormat="1" ht="31.5" customHeight="1" x14ac:dyDescent="0.25">
      <c r="A40" s="315">
        <v>3.7</v>
      </c>
      <c r="B40" s="316" t="s">
        <v>2</v>
      </c>
      <c r="C40" s="330">
        <f>+C41</f>
        <v>98410.91</v>
      </c>
      <c r="D40" s="330">
        <f>+D41</f>
        <v>0</v>
      </c>
      <c r="E40" s="330">
        <f>+E41</f>
        <v>0</v>
      </c>
      <c r="F40" s="330">
        <f>+F41</f>
        <v>0</v>
      </c>
      <c r="G40" s="330">
        <f t="shared" ref="G40:N41" si="4">G41</f>
        <v>9703.2199999999993</v>
      </c>
      <c r="H40" s="330"/>
      <c r="I40" s="330">
        <f t="shared" si="4"/>
        <v>9067.94</v>
      </c>
      <c r="J40" s="330">
        <f>J41</f>
        <v>55142.66</v>
      </c>
      <c r="K40" s="330">
        <f>K41</f>
        <v>0</v>
      </c>
      <c r="L40" s="330"/>
      <c r="M40" s="330"/>
      <c r="N40" s="330">
        <f>N41</f>
        <v>55142.66</v>
      </c>
    </row>
    <row r="41" spans="1:18" s="7" customFormat="1" ht="16.5" customHeight="1" x14ac:dyDescent="0.25">
      <c r="A41" s="324" t="s">
        <v>135</v>
      </c>
      <c r="B41" s="319" t="s">
        <v>1</v>
      </c>
      <c r="C41" s="331">
        <f>+C42</f>
        <v>98410.91</v>
      </c>
      <c r="D41" s="331">
        <f>+D42</f>
        <v>0</v>
      </c>
      <c r="E41" s="331"/>
      <c r="F41" s="331"/>
      <c r="G41" s="331">
        <f t="shared" si="4"/>
        <v>9703.2199999999993</v>
      </c>
      <c r="H41" s="331"/>
      <c r="I41" s="331">
        <f t="shared" si="4"/>
        <v>9067.94</v>
      </c>
      <c r="J41" s="331">
        <f t="shared" si="4"/>
        <v>55142.66</v>
      </c>
      <c r="K41" s="331">
        <f t="shared" si="4"/>
        <v>0</v>
      </c>
      <c r="L41" s="331"/>
      <c r="M41" s="331"/>
      <c r="N41" s="331">
        <f t="shared" si="4"/>
        <v>55142.66</v>
      </c>
      <c r="O41" s="277"/>
    </row>
    <row r="42" spans="1:18" s="7" customFormat="1" ht="16.5" customHeight="1" x14ac:dyDescent="0.25">
      <c r="A42" s="325" t="s">
        <v>282</v>
      </c>
      <c r="B42" s="322" t="s">
        <v>551</v>
      </c>
      <c r="C42" s="322">
        <v>98410.91</v>
      </c>
      <c r="D42" s="323">
        <v>0</v>
      </c>
      <c r="E42" s="323">
        <v>0</v>
      </c>
      <c r="F42" s="323">
        <v>0</v>
      </c>
      <c r="G42" s="323">
        <v>9703.2199999999993</v>
      </c>
      <c r="H42" s="323"/>
      <c r="I42" s="282">
        <v>9067.94</v>
      </c>
      <c r="J42" s="333">
        <v>55142.66</v>
      </c>
      <c r="K42" s="333"/>
      <c r="L42" s="333"/>
      <c r="M42" s="333"/>
      <c r="N42" s="323">
        <f>+L42+K42+J42+M42</f>
        <v>55142.66</v>
      </c>
      <c r="P42" s="277"/>
    </row>
    <row r="43" spans="1:18" ht="16.5" customHeight="1" x14ac:dyDescent="0.25">
      <c r="A43" s="325" t="s">
        <v>277</v>
      </c>
      <c r="B43" s="322" t="s">
        <v>552</v>
      </c>
      <c r="C43" s="322"/>
      <c r="D43" s="323"/>
      <c r="E43" s="323"/>
      <c r="F43" s="323"/>
      <c r="G43" s="323"/>
      <c r="H43" s="323"/>
      <c r="I43" s="282">
        <v>0</v>
      </c>
      <c r="J43" s="332">
        <v>0</v>
      </c>
      <c r="K43" s="332">
        <v>0</v>
      </c>
      <c r="L43" s="332"/>
      <c r="M43" s="332"/>
      <c r="N43" s="323">
        <f>+L43+K43+J43</f>
        <v>0</v>
      </c>
    </row>
    <row r="44" spans="1:18" ht="16.5" customHeight="1" x14ac:dyDescent="0.25">
      <c r="A44" s="325"/>
      <c r="B44" s="322"/>
      <c r="C44" s="322"/>
      <c r="D44" s="323"/>
      <c r="E44" s="323"/>
      <c r="F44" s="323"/>
      <c r="G44" s="323"/>
      <c r="H44" s="323"/>
      <c r="I44" s="323"/>
      <c r="J44" s="230"/>
      <c r="K44" s="230"/>
      <c r="L44" s="230"/>
      <c r="M44" s="230"/>
      <c r="N44" s="230"/>
    </row>
    <row r="45" spans="1:18" ht="16.5" customHeight="1" x14ac:dyDescent="0.25">
      <c r="A45" s="315">
        <v>3.8</v>
      </c>
      <c r="B45" s="316" t="s">
        <v>136</v>
      </c>
      <c r="C45" s="326">
        <f ca="1">+C46</f>
        <v>600</v>
      </c>
      <c r="D45" s="326">
        <f ca="1">+D46</f>
        <v>0</v>
      </c>
      <c r="E45" s="326">
        <f ca="1">+E46</f>
        <v>245807.28</v>
      </c>
      <c r="F45" s="326">
        <f ca="1">+F46</f>
        <v>245807.28</v>
      </c>
      <c r="G45" s="326">
        <f>G46</f>
        <v>10162.120000000001</v>
      </c>
      <c r="H45" s="326"/>
      <c r="I45" s="326">
        <f>I46</f>
        <v>12954.2</v>
      </c>
      <c r="J45" s="326">
        <f>J46</f>
        <v>13795.89</v>
      </c>
      <c r="K45" s="326">
        <f>K46</f>
        <v>0</v>
      </c>
      <c r="L45" s="326"/>
      <c r="M45" s="326"/>
      <c r="N45" s="326">
        <f>N46</f>
        <v>13795.89</v>
      </c>
    </row>
    <row r="46" spans="1:18" ht="16.5" customHeight="1" x14ac:dyDescent="0.25">
      <c r="A46" s="324" t="s">
        <v>137</v>
      </c>
      <c r="B46" s="319" t="s">
        <v>136</v>
      </c>
      <c r="C46" s="320">
        <f ca="1">SUM(C47:C51)</f>
        <v>600</v>
      </c>
      <c r="D46" s="320">
        <f ca="1">SUM(D47:D51)</f>
        <v>0</v>
      </c>
      <c r="E46" s="320">
        <f ca="1">SUM(E47:E51)</f>
        <v>245807.28</v>
      </c>
      <c r="F46" s="320">
        <f ca="1">SUM(F47:F51)</f>
        <v>189362.39</v>
      </c>
      <c r="G46" s="320">
        <f>G47</f>
        <v>10162.120000000001</v>
      </c>
      <c r="H46" s="320"/>
      <c r="I46" s="320">
        <f>I47+I48</f>
        <v>12954.2</v>
      </c>
      <c r="J46" s="320">
        <f>J47+J48</f>
        <v>13795.89</v>
      </c>
      <c r="K46" s="320">
        <f>K47+K48</f>
        <v>0</v>
      </c>
      <c r="L46" s="320"/>
      <c r="M46" s="320"/>
      <c r="N46" s="320">
        <f>N47+N48</f>
        <v>13795.89</v>
      </c>
      <c r="R46" s="1" t="s">
        <v>313</v>
      </c>
    </row>
    <row r="47" spans="1:18" ht="16.5" customHeight="1" x14ac:dyDescent="0.25">
      <c r="A47" s="325" t="s">
        <v>138</v>
      </c>
      <c r="B47" s="322" t="s">
        <v>553</v>
      </c>
      <c r="C47" s="322">
        <v>600</v>
      </c>
      <c r="D47" s="323">
        <v>0</v>
      </c>
      <c r="E47" s="323">
        <v>0</v>
      </c>
      <c r="F47" s="323">
        <v>0</v>
      </c>
      <c r="G47" s="323">
        <v>10162.120000000001</v>
      </c>
      <c r="H47" s="343"/>
      <c r="I47" s="278">
        <v>12954.2</v>
      </c>
      <c r="J47" s="278">
        <v>13779.65</v>
      </c>
      <c r="K47" s="278">
        <v>0</v>
      </c>
      <c r="L47" s="278">
        <v>0</v>
      </c>
      <c r="M47" s="278"/>
      <c r="N47" s="323">
        <f>+L47+K47+J47+M47</f>
        <v>13779.65</v>
      </c>
    </row>
    <row r="48" spans="1:18" ht="26.4" customHeight="1" x14ac:dyDescent="0.25">
      <c r="A48" s="64" t="s">
        <v>502</v>
      </c>
      <c r="B48" s="307" t="s">
        <v>554</v>
      </c>
      <c r="C48" s="64"/>
      <c r="D48" s="323"/>
      <c r="E48" s="323"/>
      <c r="F48" s="323"/>
      <c r="G48" s="323"/>
      <c r="H48" s="323"/>
      <c r="I48" s="323"/>
      <c r="J48" s="64">
        <v>16.239999999999998</v>
      </c>
      <c r="K48" s="64">
        <v>0</v>
      </c>
      <c r="L48" s="64"/>
      <c r="M48" s="64"/>
      <c r="N48" s="323">
        <f>+L48+K48+J48+M48</f>
        <v>16.239999999999998</v>
      </c>
    </row>
    <row r="49" spans="1:14" x14ac:dyDescent="0.25">
      <c r="A49" s="64"/>
      <c r="B49" s="64" t="s">
        <v>16</v>
      </c>
      <c r="C49" s="280">
        <f ca="1">+C39+C29+C6</f>
        <v>244706.86</v>
      </c>
      <c r="D49" s="280">
        <f ca="1">+D39+D29+D6</f>
        <v>244706.86</v>
      </c>
      <c r="E49" s="280">
        <f ca="1">+E39+E29+E6</f>
        <v>245807.28</v>
      </c>
      <c r="F49" s="280">
        <f ca="1">+F39+F29+F6</f>
        <v>245807.28</v>
      </c>
      <c r="G49" s="280"/>
      <c r="H49" s="280"/>
      <c r="I49" s="305">
        <f>I29+I6+I39</f>
        <v>245916.78999999998</v>
      </c>
      <c r="J49" s="305">
        <f>J39+J6+J29</f>
        <v>295456.19</v>
      </c>
      <c r="K49" s="305">
        <f t="shared" ref="K49:M49" si="5">K39+K6+K29</f>
        <v>10490.619999999999</v>
      </c>
      <c r="L49" s="305">
        <f t="shared" si="5"/>
        <v>0</v>
      </c>
      <c r="M49" s="305">
        <f t="shared" si="5"/>
        <v>0</v>
      </c>
      <c r="N49" s="305">
        <f>N39+N6+N29</f>
        <v>305946.81</v>
      </c>
    </row>
    <row r="50" spans="1:14" x14ac:dyDescent="0.25">
      <c r="A50" s="64"/>
      <c r="B50" s="64"/>
      <c r="C50" s="64"/>
      <c r="D50" s="323"/>
      <c r="E50" s="323"/>
      <c r="F50" s="323"/>
      <c r="G50" s="323"/>
      <c r="H50" s="323"/>
      <c r="I50" s="323"/>
      <c r="J50" s="64"/>
      <c r="K50" s="1"/>
      <c r="L50" s="1"/>
      <c r="M50" s="1"/>
      <c r="N50" s="1"/>
    </row>
    <row r="51" spans="1:14" ht="15" hidden="1" customHeight="1" x14ac:dyDescent="0.25">
      <c r="A51" s="227" t="s">
        <v>138</v>
      </c>
      <c r="B51" s="89" t="s">
        <v>411</v>
      </c>
      <c r="C51" s="89"/>
      <c r="D51" s="90"/>
      <c r="E51" s="90"/>
      <c r="F51" s="90"/>
      <c r="G51" s="90"/>
      <c r="H51" s="90"/>
      <c r="I51" s="90"/>
      <c r="J51" s="64"/>
      <c r="K51" s="1"/>
      <c r="L51" s="1"/>
      <c r="M51" s="1"/>
      <c r="N51" s="1"/>
    </row>
    <row r="52" spans="1:14" s="3" customFormat="1" ht="15" hidden="1" customHeight="1" x14ac:dyDescent="0.3">
      <c r="A52" s="231"/>
      <c r="B52" s="88" t="s">
        <v>0</v>
      </c>
      <c r="C52" s="279">
        <f ca="1">+C39+C29+C6</f>
        <v>279080.07</v>
      </c>
      <c r="D52" s="279">
        <f ca="1">+D39+D29+D6</f>
        <v>189316.65</v>
      </c>
      <c r="E52" s="279">
        <f ca="1">+E39+E29+E6</f>
        <v>245807.28</v>
      </c>
      <c r="F52" s="279">
        <f ca="1">+F39+F29+F6</f>
        <v>189362.39</v>
      </c>
      <c r="G52" s="279"/>
      <c r="H52" s="279"/>
      <c r="I52" s="279" t="e">
        <f>+I39+I29+#REF!</f>
        <v>#REF!</v>
      </c>
      <c r="J52" s="279">
        <f>+J39+J29+J6</f>
        <v>295456.19</v>
      </c>
      <c r="K52" s="334"/>
      <c r="L52" s="334"/>
      <c r="M52" s="334"/>
      <c r="N52" s="334"/>
    </row>
    <row r="53" spans="1:14" ht="15" hidden="1" customHeight="1" x14ac:dyDescent="0.25">
      <c r="D53" s="5"/>
      <c r="E53" s="5"/>
      <c r="F53" s="5"/>
      <c r="G53" s="5"/>
      <c r="H53" s="5"/>
      <c r="I53" s="5"/>
    </row>
    <row r="54" spans="1:14" ht="15" hidden="1" customHeight="1" x14ac:dyDescent="0.25">
      <c r="D54" s="5"/>
      <c r="E54" s="5"/>
      <c r="F54" s="5"/>
      <c r="G54" s="5"/>
      <c r="H54" s="5"/>
      <c r="I54" s="5"/>
    </row>
    <row r="55" spans="1:14" x14ac:dyDescent="0.25">
      <c r="D55" s="5"/>
      <c r="E55" s="5"/>
      <c r="F55" s="5"/>
      <c r="G55" s="5"/>
      <c r="H55" s="5"/>
      <c r="I55" s="5"/>
    </row>
    <row r="56" spans="1:14" x14ac:dyDescent="0.25">
      <c r="B56" s="233" t="s">
        <v>591</v>
      </c>
      <c r="C56" s="233"/>
      <c r="D56" s="5"/>
      <c r="E56" s="5"/>
      <c r="F56" s="5"/>
      <c r="G56" s="5"/>
      <c r="H56" s="5"/>
      <c r="I56" s="5"/>
    </row>
    <row r="57" spans="1:14" ht="18.600000000000001" customHeight="1" x14ac:dyDescent="0.25">
      <c r="B57" s="394" t="s">
        <v>592</v>
      </c>
      <c r="C57" s="233"/>
    </row>
    <row r="58" spans="1:14" x14ac:dyDescent="0.25">
      <c r="B58" s="232"/>
      <c r="C58" s="232"/>
      <c r="L58" s="4">
        <v>4782.87</v>
      </c>
    </row>
    <row r="59" spans="1:14" x14ac:dyDescent="0.25">
      <c r="A59" s="1"/>
      <c r="B59" s="232"/>
      <c r="C59" s="232"/>
      <c r="D59" s="4"/>
      <c r="E59" s="4"/>
      <c r="F59" s="4"/>
      <c r="G59" s="4"/>
      <c r="H59" s="4"/>
    </row>
    <row r="60" spans="1:14" ht="15" customHeight="1" x14ac:dyDescent="0.25">
      <c r="A60" s="1"/>
      <c r="B60" s="431" t="s">
        <v>321</v>
      </c>
      <c r="C60" s="431"/>
      <c r="D60" s="432"/>
      <c r="E60" s="432"/>
      <c r="F60" s="432"/>
      <c r="G60" s="432"/>
      <c r="H60" s="432"/>
      <c r="I60" s="432"/>
    </row>
    <row r="61" spans="1:14" x14ac:dyDescent="0.25">
      <c r="A61" s="82"/>
      <c r="B61" s="77" t="s">
        <v>40</v>
      </c>
      <c r="C61" s="77"/>
      <c r="D61" s="79"/>
      <c r="E61" s="79"/>
      <c r="F61" s="79"/>
      <c r="G61" s="79"/>
      <c r="H61" s="79"/>
      <c r="I61" s="78" t="s">
        <v>110</v>
      </c>
    </row>
    <row r="62" spans="1:14" s="3" customFormat="1" x14ac:dyDescent="0.25">
      <c r="A62" s="82"/>
      <c r="B62" s="65" t="s">
        <v>13</v>
      </c>
      <c r="C62" s="65"/>
      <c r="D62" s="66"/>
      <c r="E62" s="66"/>
      <c r="F62" s="66"/>
      <c r="G62" s="66"/>
      <c r="H62" s="66"/>
      <c r="I62" s="73" t="e">
        <f>SUM(I63:I67)</f>
        <v>#REF!</v>
      </c>
      <c r="J62" s="6"/>
      <c r="K62" s="6"/>
      <c r="L62" s="6"/>
      <c r="M62" s="6"/>
      <c r="N62" s="6"/>
    </row>
    <row r="63" spans="1:14" x14ac:dyDescent="0.25">
      <c r="B63" s="64" t="s">
        <v>108</v>
      </c>
      <c r="C63" s="64"/>
      <c r="D63" s="67"/>
      <c r="E63" s="67"/>
      <c r="F63" s="67"/>
      <c r="G63" s="67"/>
      <c r="H63" s="67"/>
      <c r="I63" s="74"/>
    </row>
    <row r="64" spans="1:14" x14ac:dyDescent="0.25">
      <c r="B64" s="64" t="s">
        <v>109</v>
      </c>
      <c r="C64" s="64"/>
      <c r="D64" s="67"/>
      <c r="E64" s="67"/>
      <c r="F64" s="67"/>
      <c r="G64" s="67"/>
      <c r="H64" s="67"/>
      <c r="I64" s="74" t="e">
        <f>+#REF!</f>
        <v>#REF!</v>
      </c>
    </row>
    <row r="65" spans="1:14" x14ac:dyDescent="0.25">
      <c r="B65" s="64" t="s">
        <v>112</v>
      </c>
      <c r="C65" s="64"/>
      <c r="D65" s="67"/>
      <c r="E65" s="67"/>
      <c r="F65" s="67"/>
      <c r="G65" s="67"/>
      <c r="H65" s="67"/>
      <c r="I65" s="74"/>
    </row>
    <row r="66" spans="1:14" x14ac:dyDescent="0.25">
      <c r="B66" s="64" t="s">
        <v>113</v>
      </c>
      <c r="C66" s="64"/>
      <c r="D66" s="67"/>
      <c r="E66" s="67"/>
      <c r="F66" s="67"/>
      <c r="G66" s="67"/>
      <c r="H66" s="67"/>
      <c r="I66" s="74"/>
    </row>
    <row r="67" spans="1:14" x14ac:dyDescent="0.25">
      <c r="B67" s="64" t="s">
        <v>114</v>
      </c>
      <c r="C67" s="64"/>
      <c r="D67" s="67"/>
      <c r="E67" s="67"/>
      <c r="F67" s="67"/>
      <c r="G67" s="67"/>
      <c r="H67" s="67"/>
      <c r="I67" s="74" t="e">
        <f>+#REF!</f>
        <v>#REF!</v>
      </c>
    </row>
    <row r="68" spans="1:14" s="3" customFormat="1" x14ac:dyDescent="0.25">
      <c r="A68" s="82"/>
      <c r="B68" s="65" t="s">
        <v>4</v>
      </c>
      <c r="C68" s="65"/>
      <c r="D68" s="66"/>
      <c r="E68" s="66"/>
      <c r="F68" s="66"/>
      <c r="G68" s="66"/>
      <c r="H68" s="66"/>
      <c r="I68" s="73">
        <f>I29</f>
        <v>155609.28999999998</v>
      </c>
      <c r="J68" s="6"/>
      <c r="K68" s="6"/>
      <c r="L68" s="6"/>
      <c r="M68" s="6"/>
      <c r="N68" s="6"/>
    </row>
    <row r="69" spans="1:14" x14ac:dyDescent="0.25">
      <c r="B69" s="64" t="s">
        <v>115</v>
      </c>
      <c r="C69" s="64"/>
      <c r="D69" s="67"/>
      <c r="E69" s="67"/>
      <c r="F69" s="67"/>
      <c r="G69" s="67"/>
      <c r="H69" s="67"/>
      <c r="I69" s="74" t="e">
        <f>+#REF!</f>
        <v>#REF!</v>
      </c>
    </row>
    <row r="70" spans="1:14" x14ac:dyDescent="0.25">
      <c r="B70" s="64" t="s">
        <v>116</v>
      </c>
      <c r="C70" s="64"/>
      <c r="D70" s="67"/>
      <c r="E70" s="67"/>
      <c r="F70" s="67"/>
      <c r="G70" s="67"/>
      <c r="H70" s="67"/>
      <c r="I70" s="74" t="e">
        <f>+#REF!</f>
        <v>#REF!</v>
      </c>
    </row>
    <row r="71" spans="1:14" s="3" customFormat="1" x14ac:dyDescent="0.25">
      <c r="A71" s="82"/>
      <c r="B71" s="65" t="s">
        <v>111</v>
      </c>
      <c r="C71" s="65"/>
      <c r="D71" s="66"/>
      <c r="E71" s="66"/>
      <c r="F71" s="66"/>
      <c r="G71" s="66"/>
      <c r="H71" s="66"/>
      <c r="I71" s="73">
        <v>0</v>
      </c>
      <c r="J71" s="6"/>
      <c r="K71" s="6"/>
      <c r="L71" s="6"/>
      <c r="M71" s="6"/>
      <c r="N71" s="6"/>
    </row>
    <row r="72" spans="1:14" s="3" customFormat="1" ht="14.25" hidden="1" customHeight="1" x14ac:dyDescent="0.25">
      <c r="A72" s="82"/>
      <c r="B72" s="65" t="s">
        <v>111</v>
      </c>
      <c r="C72" s="65"/>
      <c r="D72" s="66"/>
      <c r="E72" s="66"/>
      <c r="F72" s="66"/>
      <c r="G72" s="66"/>
      <c r="H72" s="66"/>
      <c r="I72" s="73" t="e">
        <f>+#REF!</f>
        <v>#REF!</v>
      </c>
      <c r="J72" s="6"/>
      <c r="K72" s="6"/>
      <c r="L72" s="6"/>
      <c r="M72" s="6"/>
      <c r="N72" s="6"/>
    </row>
    <row r="73" spans="1:14" s="71" customFormat="1" ht="14.25" hidden="1" customHeight="1" x14ac:dyDescent="0.25">
      <c r="A73" s="83"/>
      <c r="B73" s="75" t="s">
        <v>16</v>
      </c>
      <c r="C73" s="75"/>
      <c r="D73" s="68"/>
      <c r="E73" s="68"/>
      <c r="F73" s="68"/>
      <c r="G73" s="68"/>
      <c r="H73" s="68"/>
      <c r="I73" s="76" t="e">
        <f>+I71+I68+I62+I72</f>
        <v>#REF!</v>
      </c>
      <c r="J73" s="72"/>
      <c r="K73" s="72"/>
      <c r="L73" s="72"/>
      <c r="M73" s="72"/>
      <c r="N73" s="72"/>
    </row>
    <row r="74" spans="1:14" ht="14.25" hidden="1" customHeight="1" x14ac:dyDescent="0.25">
      <c r="D74" s="6"/>
      <c r="E74" s="6"/>
      <c r="F74" s="6"/>
      <c r="G74" s="6"/>
      <c r="H74" s="6"/>
    </row>
    <row r="75" spans="1:14" ht="14.25" hidden="1" customHeight="1" x14ac:dyDescent="0.25"/>
    <row r="76" spans="1:14" x14ac:dyDescent="0.25">
      <c r="D76" s="4"/>
      <c r="E76" s="4"/>
      <c r="F76" s="4"/>
      <c r="G76" s="4"/>
      <c r="H76" s="4"/>
      <c r="I76" s="5" t="e">
        <f>+I72+I62</f>
        <v>#REF!</v>
      </c>
    </row>
    <row r="77" spans="1:14" ht="14.25" hidden="1" customHeight="1" x14ac:dyDescent="0.25">
      <c r="A77" s="1"/>
      <c r="D77" s="4"/>
      <c r="E77" s="4"/>
      <c r="F77" s="4"/>
      <c r="G77" s="4"/>
      <c r="H77" s="4"/>
      <c r="I77" s="1"/>
      <c r="J77" s="1"/>
      <c r="K77" s="1"/>
      <c r="L77" s="1"/>
      <c r="M77" s="1"/>
      <c r="N77" s="1"/>
    </row>
    <row r="78" spans="1:14" ht="14.25" hidden="1" customHeight="1" x14ac:dyDescent="0.25">
      <c r="A78" s="1"/>
      <c r="I78" s="1"/>
      <c r="J78" s="1"/>
      <c r="K78" s="1"/>
      <c r="L78" s="1"/>
      <c r="M78" s="1"/>
      <c r="N78" s="1"/>
    </row>
    <row r="79" spans="1:14" ht="15" hidden="1" customHeight="1" x14ac:dyDescent="0.25">
      <c r="A79" s="1"/>
      <c r="B79" s="1" t="s">
        <v>15</v>
      </c>
      <c r="I79" s="1"/>
      <c r="J79" s="1"/>
      <c r="K79" s="1"/>
      <c r="L79" s="1"/>
      <c r="M79" s="1"/>
      <c r="N79" s="1"/>
    </row>
    <row r="80" spans="1:14" x14ac:dyDescent="0.25">
      <c r="A80" s="1"/>
      <c r="I80" s="1"/>
      <c r="J80" s="1"/>
      <c r="K80" s="1"/>
      <c r="L80" s="1"/>
      <c r="M80" s="1"/>
      <c r="N80" s="1"/>
    </row>
    <row r="81" spans="4:8" s="1" customFormat="1" x14ac:dyDescent="0.25">
      <c r="D81" s="2"/>
      <c r="E81" s="2"/>
      <c r="F81" s="2"/>
      <c r="G81" s="2"/>
      <c r="H81" s="2"/>
    </row>
    <row r="82" spans="4:8" s="1" customFormat="1" x14ac:dyDescent="0.25">
      <c r="D82" s="2"/>
      <c r="E82" s="2"/>
      <c r="F82" s="2"/>
      <c r="G82" s="2"/>
      <c r="H82" s="2"/>
    </row>
    <row r="83" spans="4:8" s="1" customFormat="1" x14ac:dyDescent="0.25">
      <c r="D83" s="2"/>
      <c r="E83" s="2"/>
      <c r="F83" s="2"/>
      <c r="G83" s="2"/>
      <c r="H83" s="2"/>
    </row>
    <row r="84" spans="4:8" s="1" customFormat="1" x14ac:dyDescent="0.25">
      <c r="D84" s="2"/>
      <c r="E84" s="2"/>
      <c r="F84" s="2"/>
      <c r="G84" s="2"/>
      <c r="H84" s="2"/>
    </row>
    <row r="85" spans="4:8" s="1" customFormat="1" x14ac:dyDescent="0.25">
      <c r="D85" s="2"/>
      <c r="E85" s="2"/>
      <c r="F85" s="2"/>
      <c r="G85" s="2"/>
      <c r="H85" s="2"/>
    </row>
    <row r="86" spans="4:8" s="1" customFormat="1" x14ac:dyDescent="0.25">
      <c r="D86" s="2"/>
      <c r="E86" s="2"/>
      <c r="F86" s="2"/>
      <c r="G86" s="2"/>
      <c r="H86" s="2"/>
    </row>
    <row r="87" spans="4:8" s="1" customFormat="1" x14ac:dyDescent="0.25">
      <c r="D87" s="2"/>
      <c r="E87" s="2"/>
      <c r="F87" s="2"/>
      <c r="G87" s="2"/>
      <c r="H87" s="2"/>
    </row>
    <row r="88" spans="4:8" s="1" customFormat="1" x14ac:dyDescent="0.25">
      <c r="D88" s="2"/>
      <c r="E88" s="2"/>
      <c r="F88" s="2"/>
      <c r="G88" s="2"/>
      <c r="H88" s="2"/>
    </row>
    <row r="89" spans="4:8" s="1" customFormat="1" x14ac:dyDescent="0.25">
      <c r="D89" s="2"/>
      <c r="E89" s="2"/>
      <c r="F89" s="2"/>
      <c r="G89" s="2"/>
      <c r="H89" s="2"/>
    </row>
    <row r="90" spans="4:8" s="1" customFormat="1" x14ac:dyDescent="0.25">
      <c r="D90" s="2"/>
      <c r="E90" s="2"/>
      <c r="F90" s="2"/>
      <c r="G90" s="2"/>
      <c r="H90" s="2"/>
    </row>
  </sheetData>
  <mergeCells count="3">
    <mergeCell ref="B60:I60"/>
    <mergeCell ref="A1:J1"/>
    <mergeCell ref="A2:J4"/>
  </mergeCells>
  <printOptions horizontalCentered="1"/>
  <pageMargins left="0.25" right="0.25" top="0.75" bottom="0.75" header="0.3" footer="0.3"/>
  <pageSetup paperSize="9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J293"/>
  <sheetViews>
    <sheetView tabSelected="1" topLeftCell="A145" zoomScale="115" zoomScaleNormal="115" zoomScaleSheetLayoutView="85" workbookViewId="0">
      <selection activeCell="A272" sqref="A272:I274"/>
    </sheetView>
  </sheetViews>
  <sheetFormatPr baseColWidth="10" defaultColWidth="11.44140625" defaultRowHeight="10.199999999999999" x14ac:dyDescent="0.2"/>
  <cols>
    <col min="1" max="1" width="13.44140625" style="259" customWidth="1"/>
    <col min="2" max="2" width="51.5546875" style="275" customWidth="1"/>
    <col min="3" max="3" width="9.88671875" style="261" customWidth="1"/>
    <col min="4" max="7" width="11.6640625" style="261" customWidth="1"/>
    <col min="8" max="8" width="12.77734375" style="261" customWidth="1"/>
    <col min="9" max="9" width="12.77734375" style="262" customWidth="1"/>
    <col min="10" max="16384" width="11.44140625" style="260"/>
  </cols>
  <sheetData>
    <row r="1" spans="1:10" s="236" customFormat="1" x14ac:dyDescent="0.2">
      <c r="A1" s="437" t="s">
        <v>510</v>
      </c>
      <c r="B1" s="437"/>
      <c r="C1" s="437"/>
      <c r="D1" s="437"/>
      <c r="E1" s="437"/>
      <c r="F1" s="437"/>
      <c r="G1" s="437"/>
      <c r="H1" s="437"/>
      <c r="I1" s="437"/>
    </row>
    <row r="2" spans="1:10" s="236" customFormat="1" x14ac:dyDescent="0.2">
      <c r="A2" s="237" t="s">
        <v>343</v>
      </c>
      <c r="B2" s="436" t="s">
        <v>34</v>
      </c>
      <c r="C2" s="436"/>
      <c r="D2" s="436"/>
      <c r="E2" s="436"/>
      <c r="F2" s="436"/>
      <c r="G2" s="436"/>
      <c r="H2" s="436"/>
      <c r="I2" s="436"/>
    </row>
    <row r="3" spans="1:10" s="236" customFormat="1" ht="30.6" x14ac:dyDescent="0.2">
      <c r="A3" s="238" t="s">
        <v>39</v>
      </c>
      <c r="B3" s="263" t="s">
        <v>40</v>
      </c>
      <c r="C3" s="238" t="s">
        <v>403</v>
      </c>
      <c r="D3" s="381" t="s">
        <v>556</v>
      </c>
      <c r="E3" s="381" t="s">
        <v>557</v>
      </c>
      <c r="F3" s="381" t="s">
        <v>558</v>
      </c>
      <c r="G3" s="381" t="s">
        <v>559</v>
      </c>
      <c r="H3" s="238" t="s">
        <v>560</v>
      </c>
      <c r="I3" s="395" t="s">
        <v>546</v>
      </c>
    </row>
    <row r="4" spans="1:10" s="236" customFormat="1" x14ac:dyDescent="0.2">
      <c r="A4" s="240"/>
      <c r="B4" s="264"/>
      <c r="C4" s="241"/>
      <c r="D4" s="241"/>
      <c r="E4" s="241"/>
      <c r="F4" s="241"/>
      <c r="G4" s="241"/>
      <c r="H4" s="241"/>
      <c r="I4" s="396"/>
    </row>
    <row r="5" spans="1:10" s="236" customFormat="1" ht="12" x14ac:dyDescent="0.25">
      <c r="A5" s="240"/>
      <c r="B5" s="264" t="s">
        <v>477</v>
      </c>
      <c r="C5" s="241"/>
      <c r="D5" s="242">
        <f>+D7+D30+D51+D56</f>
        <v>64932.2</v>
      </c>
      <c r="E5" s="242">
        <f t="shared" ref="E5:I5" si="0">+E7+E30+E51+E56</f>
        <v>0</v>
      </c>
      <c r="F5" s="242">
        <f>+F7+F30+ F51+F56</f>
        <v>9516.91</v>
      </c>
      <c r="G5" s="242">
        <f t="shared" si="0"/>
        <v>0</v>
      </c>
      <c r="H5" s="257">
        <f t="shared" si="0"/>
        <v>0</v>
      </c>
      <c r="I5" s="397">
        <f t="shared" si="0"/>
        <v>74449.11</v>
      </c>
      <c r="J5" s="350">
        <v>64932.2</v>
      </c>
    </row>
    <row r="6" spans="1:10" s="236" customFormat="1" x14ac:dyDescent="0.2">
      <c r="A6" s="240"/>
      <c r="B6" s="264"/>
      <c r="C6" s="241"/>
      <c r="D6" s="241"/>
      <c r="E6" s="241"/>
      <c r="F6" s="241"/>
      <c r="G6" s="241"/>
      <c r="H6" s="241"/>
      <c r="I6" s="345"/>
      <c r="J6" s="236">
        <f>+D5-J5</f>
        <v>0</v>
      </c>
    </row>
    <row r="7" spans="1:10" s="236" customFormat="1" x14ac:dyDescent="0.2">
      <c r="A7" s="240" t="s">
        <v>42</v>
      </c>
      <c r="B7" s="264" t="s">
        <v>295</v>
      </c>
      <c r="C7" s="243"/>
      <c r="D7" s="243">
        <f>+D8+D11+D15+D23+D27</f>
        <v>53565.4</v>
      </c>
      <c r="E7" s="243">
        <f t="shared" ref="E7:I7" si="1">+E8+E11+E15+E23+E27</f>
        <v>0</v>
      </c>
      <c r="F7" s="243">
        <f>+F8+F11+F15+F23+F27</f>
        <v>7255.79</v>
      </c>
      <c r="G7" s="243">
        <f t="shared" si="1"/>
        <v>0</v>
      </c>
      <c r="H7" s="243">
        <f t="shared" si="1"/>
        <v>0</v>
      </c>
      <c r="I7" s="344">
        <f t="shared" si="1"/>
        <v>60821.189999999995</v>
      </c>
    </row>
    <row r="8" spans="1:10" s="236" customFormat="1" x14ac:dyDescent="0.2">
      <c r="A8" s="240" t="s">
        <v>43</v>
      </c>
      <c r="B8" s="264" t="s">
        <v>44</v>
      </c>
      <c r="C8" s="243"/>
      <c r="D8" s="340">
        <f>+D9</f>
        <v>39600</v>
      </c>
      <c r="E8" s="340">
        <f t="shared" ref="E8:I8" si="2">+E9</f>
        <v>0</v>
      </c>
      <c r="F8" s="340">
        <f>+F9</f>
        <v>2160</v>
      </c>
      <c r="G8" s="340">
        <f t="shared" si="2"/>
        <v>0</v>
      </c>
      <c r="H8" s="340">
        <f t="shared" si="2"/>
        <v>0</v>
      </c>
      <c r="I8" s="398">
        <f t="shared" si="2"/>
        <v>41760</v>
      </c>
    </row>
    <row r="9" spans="1:10" s="236" customFormat="1" x14ac:dyDescent="0.2">
      <c r="A9" s="244" t="s">
        <v>45</v>
      </c>
      <c r="B9" s="265" t="s">
        <v>46</v>
      </c>
      <c r="C9" s="241"/>
      <c r="D9" s="241">
        <f>DISTRIBUTIVO!E18</f>
        <v>39600</v>
      </c>
      <c r="E9" s="241"/>
      <c r="F9" s="241">
        <v>2160</v>
      </c>
      <c r="G9" s="241"/>
      <c r="H9" s="241"/>
      <c r="I9" s="345">
        <f>+D9+E9+F9+G9+H9</f>
        <v>41760</v>
      </c>
    </row>
    <row r="10" spans="1:10" s="236" customFormat="1" x14ac:dyDescent="0.2">
      <c r="A10" s="240"/>
      <c r="B10" s="264"/>
      <c r="C10" s="241"/>
      <c r="D10" s="241"/>
      <c r="E10" s="241"/>
      <c r="F10" s="241"/>
      <c r="G10" s="241"/>
      <c r="H10" s="241"/>
      <c r="I10" s="396"/>
    </row>
    <row r="11" spans="1:10" s="236" customFormat="1" x14ac:dyDescent="0.2">
      <c r="A11" s="240" t="s">
        <v>47</v>
      </c>
      <c r="B11" s="264" t="s">
        <v>48</v>
      </c>
      <c r="C11" s="243"/>
      <c r="D11" s="243">
        <f>+D12+D13</f>
        <v>5850</v>
      </c>
      <c r="E11" s="243">
        <f t="shared" ref="E11:I11" si="3">+E12+E13</f>
        <v>0</v>
      </c>
      <c r="F11" s="243">
        <f>+F12+F13</f>
        <v>330</v>
      </c>
      <c r="G11" s="243">
        <f t="shared" si="3"/>
        <v>0</v>
      </c>
      <c r="H11" s="243">
        <f t="shared" si="3"/>
        <v>0</v>
      </c>
      <c r="I11" s="344">
        <f t="shared" si="3"/>
        <v>6180</v>
      </c>
    </row>
    <row r="12" spans="1:10" s="236" customFormat="1" x14ac:dyDescent="0.2">
      <c r="A12" s="244" t="s">
        <v>49</v>
      </c>
      <c r="B12" s="265" t="s">
        <v>50</v>
      </c>
      <c r="C12" s="241"/>
      <c r="D12" s="241">
        <f>DISTRIBUTIVO!F18</f>
        <v>3300</v>
      </c>
      <c r="E12" s="241"/>
      <c r="F12" s="241">
        <v>180</v>
      </c>
      <c r="G12" s="241"/>
      <c r="H12" s="241"/>
      <c r="I12" s="345">
        <f t="shared" ref="I12:I13" si="4">+D12+E12+F12+G12+H12</f>
        <v>3480</v>
      </c>
    </row>
    <row r="13" spans="1:10" s="236" customFormat="1" x14ac:dyDescent="0.2">
      <c r="A13" s="244" t="s">
        <v>51</v>
      </c>
      <c r="B13" s="265" t="s">
        <v>52</v>
      </c>
      <c r="C13" s="241"/>
      <c r="D13" s="241">
        <f>DISTRIBUTIVO!G18</f>
        <v>2550</v>
      </c>
      <c r="E13" s="241"/>
      <c r="F13" s="241">
        <v>150</v>
      </c>
      <c r="G13" s="241"/>
      <c r="H13" s="241"/>
      <c r="I13" s="345">
        <f t="shared" si="4"/>
        <v>2700</v>
      </c>
    </row>
    <row r="14" spans="1:10" s="236" customFormat="1" x14ac:dyDescent="0.2">
      <c r="A14" s="244"/>
      <c r="B14" s="265"/>
      <c r="C14" s="241"/>
      <c r="D14" s="241"/>
      <c r="E14" s="241"/>
      <c r="F14" s="241"/>
      <c r="G14" s="241"/>
      <c r="H14" s="241"/>
      <c r="I14" s="396"/>
    </row>
    <row r="15" spans="1:10" s="236" customFormat="1" x14ac:dyDescent="0.2">
      <c r="A15" s="240" t="s">
        <v>53</v>
      </c>
      <c r="B15" s="264" t="s">
        <v>54</v>
      </c>
      <c r="C15" s="243"/>
      <c r="D15" s="243">
        <f>+D16</f>
        <v>400</v>
      </c>
      <c r="E15" s="243">
        <f t="shared" ref="E15:I15" si="5">+E16</f>
        <v>0</v>
      </c>
      <c r="F15" s="243">
        <f>+F16</f>
        <v>-400</v>
      </c>
      <c r="G15" s="243">
        <f t="shared" si="5"/>
        <v>0</v>
      </c>
      <c r="H15" s="243">
        <f t="shared" si="5"/>
        <v>0</v>
      </c>
      <c r="I15" s="344">
        <f t="shared" si="5"/>
        <v>0</v>
      </c>
    </row>
    <row r="16" spans="1:10" s="236" customFormat="1" x14ac:dyDescent="0.2">
      <c r="A16" s="244" t="s">
        <v>339</v>
      </c>
      <c r="B16" s="265" t="s">
        <v>340</v>
      </c>
      <c r="C16" s="241"/>
      <c r="D16" s="241">
        <v>400</v>
      </c>
      <c r="E16" s="241"/>
      <c r="F16" s="241">
        <v>-400</v>
      </c>
      <c r="G16" s="241"/>
      <c r="H16" s="241"/>
      <c r="I16" s="345">
        <f>+D16+E16+F16+G16+H16</f>
        <v>0</v>
      </c>
    </row>
    <row r="17" spans="1:9" s="236" customFormat="1" x14ac:dyDescent="0.2">
      <c r="A17" s="244"/>
      <c r="B17" s="265"/>
      <c r="C17" s="241"/>
      <c r="D17" s="241"/>
      <c r="E17" s="241"/>
      <c r="F17" s="241"/>
      <c r="G17" s="241"/>
      <c r="H17" s="241"/>
      <c r="I17" s="396"/>
    </row>
    <row r="18" spans="1:9" s="236" customFormat="1" hidden="1" x14ac:dyDescent="0.2">
      <c r="A18" s="240" t="s">
        <v>53</v>
      </c>
      <c r="B18" s="264" t="s">
        <v>54</v>
      </c>
      <c r="C18" s="241"/>
      <c r="D18" s="243">
        <f>+D19+D21</f>
        <v>0</v>
      </c>
      <c r="E18" s="243"/>
      <c r="F18" s="243"/>
      <c r="G18" s="243"/>
      <c r="H18" s="243"/>
      <c r="I18" s="396"/>
    </row>
    <row r="19" spans="1:9" s="236" customFormat="1" hidden="1" x14ac:dyDescent="0.2">
      <c r="A19" s="244" t="s">
        <v>55</v>
      </c>
      <c r="B19" s="265" t="s">
        <v>56</v>
      </c>
      <c r="C19" s="241"/>
      <c r="D19" s="241">
        <v>0</v>
      </c>
      <c r="E19" s="241"/>
      <c r="F19" s="241"/>
      <c r="G19" s="241"/>
      <c r="H19" s="241"/>
      <c r="I19" s="396"/>
    </row>
    <row r="20" spans="1:9" s="236" customFormat="1" hidden="1" x14ac:dyDescent="0.2">
      <c r="A20" s="244" t="s">
        <v>57</v>
      </c>
      <c r="B20" s="265" t="s">
        <v>58</v>
      </c>
      <c r="C20" s="243"/>
      <c r="D20" s="241"/>
      <c r="E20" s="241"/>
      <c r="F20" s="241"/>
      <c r="G20" s="241"/>
      <c r="H20" s="241"/>
      <c r="I20" s="396"/>
    </row>
    <row r="21" spans="1:9" s="236" customFormat="1" hidden="1" x14ac:dyDescent="0.2">
      <c r="A21" s="244" t="s">
        <v>59</v>
      </c>
      <c r="B21" s="265" t="s">
        <v>60</v>
      </c>
      <c r="C21" s="241"/>
      <c r="D21" s="241">
        <v>0</v>
      </c>
      <c r="E21" s="241"/>
      <c r="F21" s="241"/>
      <c r="G21" s="241"/>
      <c r="H21" s="241"/>
      <c r="I21" s="396"/>
    </row>
    <row r="22" spans="1:9" s="236" customFormat="1" hidden="1" x14ac:dyDescent="0.2">
      <c r="A22" s="244"/>
      <c r="B22" s="265"/>
      <c r="C22" s="241"/>
      <c r="D22" s="241"/>
      <c r="E22" s="241"/>
      <c r="F22" s="241"/>
      <c r="G22" s="241"/>
      <c r="H22" s="241"/>
      <c r="I22" s="396"/>
    </row>
    <row r="23" spans="1:9" s="236" customFormat="1" x14ac:dyDescent="0.2">
      <c r="A23" s="240" t="s">
        <v>61</v>
      </c>
      <c r="B23" s="264" t="s">
        <v>62</v>
      </c>
      <c r="C23" s="241"/>
      <c r="D23" s="243">
        <f>SUM(D24:D25)</f>
        <v>7715.4000000000005</v>
      </c>
      <c r="E23" s="243">
        <f t="shared" ref="E23:I23" si="6">SUM(E24:E25)</f>
        <v>0</v>
      </c>
      <c r="F23" s="243">
        <f>SUM(F24:F25)</f>
        <v>420.84000000000003</v>
      </c>
      <c r="G23" s="243">
        <f t="shared" si="6"/>
        <v>0</v>
      </c>
      <c r="H23" s="243">
        <f t="shared" si="6"/>
        <v>0</v>
      </c>
      <c r="I23" s="344">
        <f t="shared" si="6"/>
        <v>8136.2400000000007</v>
      </c>
    </row>
    <row r="24" spans="1:9" s="236" customFormat="1" x14ac:dyDescent="0.2">
      <c r="A24" s="244" t="s">
        <v>63</v>
      </c>
      <c r="B24" s="265" t="s">
        <v>64</v>
      </c>
      <c r="C24" s="243"/>
      <c r="D24" s="241">
        <f>DISTRIBUTIVO!I18</f>
        <v>4415.4000000000005</v>
      </c>
      <c r="E24" s="241"/>
      <c r="F24" s="241">
        <v>240.84</v>
      </c>
      <c r="G24" s="241"/>
      <c r="H24" s="241"/>
      <c r="I24" s="345">
        <f t="shared" ref="I24:I25" si="7">+D24+E24+F24+G24+H24</f>
        <v>4656.2400000000007</v>
      </c>
    </row>
    <row r="25" spans="1:9" s="236" customFormat="1" x14ac:dyDescent="0.2">
      <c r="A25" s="244" t="s">
        <v>65</v>
      </c>
      <c r="B25" s="265" t="s">
        <v>66</v>
      </c>
      <c r="C25" s="241"/>
      <c r="D25" s="241">
        <v>3300</v>
      </c>
      <c r="E25" s="241"/>
      <c r="F25" s="241">
        <v>180</v>
      </c>
      <c r="G25" s="241"/>
      <c r="H25" s="241"/>
      <c r="I25" s="345">
        <f t="shared" si="7"/>
        <v>3480</v>
      </c>
    </row>
    <row r="26" spans="1:9" s="236" customFormat="1" x14ac:dyDescent="0.2">
      <c r="A26" s="244"/>
      <c r="B26" s="265"/>
      <c r="C26" s="241"/>
      <c r="D26" s="241"/>
      <c r="E26" s="241"/>
      <c r="F26" s="241"/>
      <c r="G26" s="241"/>
      <c r="H26" s="241"/>
      <c r="I26" s="396"/>
    </row>
    <row r="27" spans="1:9" s="236" customFormat="1" x14ac:dyDescent="0.2">
      <c r="A27" s="240" t="s">
        <v>529</v>
      </c>
      <c r="B27" s="264" t="s">
        <v>530</v>
      </c>
      <c r="C27" s="243"/>
      <c r="D27" s="243">
        <f>+D28</f>
        <v>0</v>
      </c>
      <c r="E27" s="243">
        <f t="shared" ref="E27:I27" si="8">+E28</f>
        <v>0</v>
      </c>
      <c r="F27" s="243">
        <f>+F28</f>
        <v>4744.95</v>
      </c>
      <c r="G27" s="243">
        <f t="shared" si="8"/>
        <v>0</v>
      </c>
      <c r="H27" s="243">
        <f t="shared" si="8"/>
        <v>0</v>
      </c>
      <c r="I27" s="344">
        <f t="shared" si="8"/>
        <v>4744.95</v>
      </c>
    </row>
    <row r="28" spans="1:9" s="236" customFormat="1" x14ac:dyDescent="0.2">
      <c r="A28" s="244" t="s">
        <v>531</v>
      </c>
      <c r="B28" s="265" t="s">
        <v>532</v>
      </c>
      <c r="C28" s="241"/>
      <c r="D28" s="241"/>
      <c r="E28" s="241"/>
      <c r="F28" s="241">
        <f>+'VACACIONES NO GOZADAS'!I11</f>
        <v>4744.95</v>
      </c>
      <c r="G28" s="241"/>
      <c r="H28" s="241"/>
      <c r="I28" s="345">
        <f>+D28+E28+F28+G28+H28</f>
        <v>4744.95</v>
      </c>
    </row>
    <row r="29" spans="1:9" s="236" customFormat="1" x14ac:dyDescent="0.2">
      <c r="A29" s="244"/>
      <c r="B29" s="265"/>
      <c r="C29" s="241"/>
      <c r="D29" s="241"/>
      <c r="E29" s="241"/>
      <c r="F29" s="241"/>
      <c r="G29" s="241"/>
      <c r="H29" s="241"/>
      <c r="I29" s="396"/>
    </row>
    <row r="30" spans="1:9" s="236" customFormat="1" x14ac:dyDescent="0.2">
      <c r="A30" s="240" t="s">
        <v>67</v>
      </c>
      <c r="B30" s="264" t="s">
        <v>294</v>
      </c>
      <c r="C30" s="243"/>
      <c r="D30" s="344">
        <f>+D31+D39+D42+D46</f>
        <v>3004.41</v>
      </c>
      <c r="E30" s="344">
        <f t="shared" ref="E30:I30" si="9">+E31+E39+E42+E46</f>
        <v>0</v>
      </c>
      <c r="F30" s="344">
        <f>+F31+F39+F42+F46</f>
        <v>220.59</v>
      </c>
      <c r="G30" s="344">
        <f t="shared" si="9"/>
        <v>0</v>
      </c>
      <c r="H30" s="344">
        <f t="shared" si="9"/>
        <v>0</v>
      </c>
      <c r="I30" s="344">
        <f t="shared" si="9"/>
        <v>3225</v>
      </c>
    </row>
    <row r="31" spans="1:9" s="236" customFormat="1" x14ac:dyDescent="0.2">
      <c r="A31" s="240" t="s">
        <v>68</v>
      </c>
      <c r="B31" s="264" t="s">
        <v>69</v>
      </c>
      <c r="C31" s="243"/>
      <c r="D31" s="344">
        <f>SUM(D32:D35)</f>
        <v>1241.28</v>
      </c>
      <c r="E31" s="344">
        <f t="shared" ref="E31:I31" si="10">SUM(E32:E35)</f>
        <v>0</v>
      </c>
      <c r="F31" s="344">
        <f>SUM(F32:F35)</f>
        <v>233.72</v>
      </c>
      <c r="G31" s="344">
        <f t="shared" si="10"/>
        <v>0</v>
      </c>
      <c r="H31" s="344">
        <f t="shared" si="10"/>
        <v>0</v>
      </c>
      <c r="I31" s="344">
        <f t="shared" si="10"/>
        <v>1475</v>
      </c>
    </row>
    <row r="32" spans="1:9" s="236" customFormat="1" hidden="1" x14ac:dyDescent="0.2">
      <c r="A32" s="244" t="s">
        <v>163</v>
      </c>
      <c r="B32" s="265" t="s">
        <v>6</v>
      </c>
      <c r="C32" s="241"/>
      <c r="D32" s="345">
        <v>0</v>
      </c>
      <c r="E32" s="345"/>
      <c r="F32" s="345"/>
      <c r="G32" s="345"/>
      <c r="H32" s="241"/>
      <c r="I32" s="399"/>
    </row>
    <row r="33" spans="1:9" s="236" customFormat="1" x14ac:dyDescent="0.2">
      <c r="A33" s="244" t="s">
        <v>163</v>
      </c>
      <c r="B33" s="265" t="s">
        <v>400</v>
      </c>
      <c r="C33" s="241"/>
      <c r="D33" s="345">
        <f>+PARTICIPATIVO!C29</f>
        <v>125</v>
      </c>
      <c r="E33" s="345"/>
      <c r="F33" s="345"/>
      <c r="G33" s="345"/>
      <c r="H33" s="241"/>
      <c r="I33" s="345">
        <f t="shared" ref="I33:I34" si="11">+D33+E33+F33+G33+H33</f>
        <v>125</v>
      </c>
    </row>
    <row r="34" spans="1:9" s="236" customFormat="1" x14ac:dyDescent="0.2">
      <c r="A34" s="244" t="s">
        <v>70</v>
      </c>
      <c r="B34" s="265" t="s">
        <v>71</v>
      </c>
      <c r="C34" s="241"/>
      <c r="D34" s="345">
        <v>400</v>
      </c>
      <c r="E34" s="345"/>
      <c r="F34" s="345">
        <v>100</v>
      </c>
      <c r="G34" s="345"/>
      <c r="H34" s="241"/>
      <c r="I34" s="345">
        <f t="shared" si="11"/>
        <v>500</v>
      </c>
    </row>
    <row r="35" spans="1:9" s="236" customFormat="1" x14ac:dyDescent="0.2">
      <c r="A35" s="244" t="s">
        <v>508</v>
      </c>
      <c r="B35" s="265" t="s">
        <v>509</v>
      </c>
      <c r="C35" s="241"/>
      <c r="D35" s="344">
        <f>SUM(D36:D37)</f>
        <v>716.28</v>
      </c>
      <c r="E35" s="344">
        <f t="shared" ref="E35:I35" si="12">SUM(E36:E37)</f>
        <v>0</v>
      </c>
      <c r="F35" s="344">
        <f t="shared" si="12"/>
        <v>133.72</v>
      </c>
      <c r="G35" s="344">
        <f t="shared" si="12"/>
        <v>0</v>
      </c>
      <c r="H35" s="344">
        <f t="shared" si="12"/>
        <v>0</v>
      </c>
      <c r="I35" s="344">
        <f t="shared" si="12"/>
        <v>850</v>
      </c>
    </row>
    <row r="36" spans="1:9" s="236" customFormat="1" x14ac:dyDescent="0.2">
      <c r="A36" s="244" t="s">
        <v>306</v>
      </c>
      <c r="B36" s="265" t="s">
        <v>308</v>
      </c>
      <c r="C36" s="241"/>
      <c r="D36" s="345">
        <v>300</v>
      </c>
      <c r="E36" s="345"/>
      <c r="F36" s="345">
        <v>100</v>
      </c>
      <c r="G36" s="345"/>
      <c r="H36" s="241"/>
      <c r="I36" s="345">
        <f t="shared" ref="I36:I37" si="13">+D36+E36+F36+G36+H36</f>
        <v>400</v>
      </c>
    </row>
    <row r="37" spans="1:9" s="236" customFormat="1" x14ac:dyDescent="0.2">
      <c r="A37" s="244" t="s">
        <v>307</v>
      </c>
      <c r="B37" s="265" t="s">
        <v>309</v>
      </c>
      <c r="C37" s="241"/>
      <c r="D37" s="345">
        <v>416.28</v>
      </c>
      <c r="E37" s="345"/>
      <c r="F37" s="345">
        <v>33.72</v>
      </c>
      <c r="G37" s="345"/>
      <c r="H37" s="241"/>
      <c r="I37" s="345">
        <f t="shared" si="13"/>
        <v>450</v>
      </c>
    </row>
    <row r="38" spans="1:9" s="236" customFormat="1" x14ac:dyDescent="0.2">
      <c r="A38" s="244"/>
      <c r="B38" s="265"/>
      <c r="C38" s="241"/>
      <c r="D38" s="345"/>
      <c r="E38" s="345"/>
      <c r="F38" s="345"/>
      <c r="G38" s="345"/>
      <c r="H38" s="241"/>
      <c r="I38" s="396"/>
    </row>
    <row r="39" spans="1:9" s="236" customFormat="1" x14ac:dyDescent="0.2">
      <c r="A39" s="240" t="s">
        <v>184</v>
      </c>
      <c r="B39" s="264" t="s">
        <v>461</v>
      </c>
      <c r="C39" s="243"/>
      <c r="D39" s="344">
        <f>+D40</f>
        <v>200</v>
      </c>
      <c r="E39" s="344">
        <f t="shared" ref="E39:I39" si="14">+E40</f>
        <v>0</v>
      </c>
      <c r="F39" s="344">
        <f t="shared" si="14"/>
        <v>0</v>
      </c>
      <c r="G39" s="344">
        <f t="shared" si="14"/>
        <v>0</v>
      </c>
      <c r="H39" s="344">
        <f t="shared" si="14"/>
        <v>0</v>
      </c>
      <c r="I39" s="344">
        <f t="shared" si="14"/>
        <v>200</v>
      </c>
    </row>
    <row r="40" spans="1:9" s="236" customFormat="1" x14ac:dyDescent="0.2">
      <c r="A40" s="244" t="s">
        <v>75</v>
      </c>
      <c r="B40" s="265" t="s">
        <v>185</v>
      </c>
      <c r="C40" s="241"/>
      <c r="D40" s="345">
        <f>PARTICIPATIVO!C36</f>
        <v>200</v>
      </c>
      <c r="E40" s="345"/>
      <c r="F40" s="345"/>
      <c r="G40" s="345"/>
      <c r="H40" s="241"/>
      <c r="I40" s="345">
        <f>+D40+E40+F40+G40+H40</f>
        <v>200</v>
      </c>
    </row>
    <row r="41" spans="1:9" s="236" customFormat="1" x14ac:dyDescent="0.2">
      <c r="A41" s="244"/>
      <c r="B41" s="265"/>
      <c r="C41" s="241"/>
      <c r="D41" s="345"/>
      <c r="E41" s="345"/>
      <c r="F41" s="345"/>
      <c r="G41" s="345"/>
      <c r="H41" s="241"/>
      <c r="I41" s="396"/>
    </row>
    <row r="42" spans="1:9" s="236" customFormat="1" x14ac:dyDescent="0.2">
      <c r="A42" s="240" t="s">
        <v>73</v>
      </c>
      <c r="B42" s="264" t="s">
        <v>74</v>
      </c>
      <c r="C42" s="243"/>
      <c r="D42" s="344">
        <f>SUM(D43:D44)</f>
        <v>350</v>
      </c>
      <c r="E42" s="344">
        <f t="shared" ref="E42:I42" si="15">SUM(E43:E44)</f>
        <v>0</v>
      </c>
      <c r="F42" s="344">
        <f t="shared" si="15"/>
        <v>0</v>
      </c>
      <c r="G42" s="344">
        <f t="shared" si="15"/>
        <v>0</v>
      </c>
      <c r="H42" s="344">
        <f t="shared" si="15"/>
        <v>0</v>
      </c>
      <c r="I42" s="344">
        <f t="shared" si="15"/>
        <v>350</v>
      </c>
    </row>
    <row r="43" spans="1:9" s="236" customFormat="1" x14ac:dyDescent="0.2">
      <c r="A43" s="244" t="s">
        <v>167</v>
      </c>
      <c r="B43" s="265" t="s">
        <v>168</v>
      </c>
      <c r="C43" s="241"/>
      <c r="D43" s="345">
        <v>350</v>
      </c>
      <c r="E43" s="345"/>
      <c r="F43" s="345"/>
      <c r="G43" s="345"/>
      <c r="H43" s="241"/>
      <c r="I43" s="345">
        <f>+D43+E43+F43+G43+H43</f>
        <v>350</v>
      </c>
    </row>
    <row r="44" spans="1:9" s="236" customFormat="1" hidden="1" x14ac:dyDescent="0.2">
      <c r="A44" s="244" t="s">
        <v>75</v>
      </c>
      <c r="B44" s="265" t="s">
        <v>169</v>
      </c>
      <c r="C44" s="241"/>
      <c r="D44" s="345">
        <v>0</v>
      </c>
      <c r="E44" s="345"/>
      <c r="F44" s="345"/>
      <c r="G44" s="345"/>
      <c r="H44" s="241"/>
      <c r="I44" s="396"/>
    </row>
    <row r="45" spans="1:9" s="236" customFormat="1" x14ac:dyDescent="0.2">
      <c r="A45" s="244"/>
      <c r="B45" s="265"/>
      <c r="C45" s="241"/>
      <c r="D45" s="345"/>
      <c r="E45" s="345"/>
      <c r="F45" s="345"/>
      <c r="G45" s="345"/>
      <c r="H45" s="241"/>
      <c r="I45" s="396"/>
    </row>
    <row r="46" spans="1:9" s="236" customFormat="1" x14ac:dyDescent="0.2">
      <c r="A46" s="240" t="s">
        <v>76</v>
      </c>
      <c r="B46" s="264" t="s">
        <v>77</v>
      </c>
      <c r="C46" s="243"/>
      <c r="D46" s="344">
        <f>SUM(D47:D49)</f>
        <v>1213.1300000000001</v>
      </c>
      <c r="E46" s="344">
        <f t="shared" ref="E46:I46" si="16">SUM(E47:E49)</f>
        <v>0</v>
      </c>
      <c r="F46" s="344">
        <f>SUM(F47:F49)</f>
        <v>-13.13</v>
      </c>
      <c r="G46" s="344">
        <f t="shared" si="16"/>
        <v>0</v>
      </c>
      <c r="H46" s="344">
        <f t="shared" si="16"/>
        <v>0</v>
      </c>
      <c r="I46" s="344">
        <f t="shared" si="16"/>
        <v>1200</v>
      </c>
    </row>
    <row r="47" spans="1:9" s="236" customFormat="1" ht="20.399999999999999" x14ac:dyDescent="0.2">
      <c r="A47" s="244" t="s">
        <v>78</v>
      </c>
      <c r="B47" s="265" t="s">
        <v>369</v>
      </c>
      <c r="C47" s="241"/>
      <c r="D47" s="345">
        <f>+PARTICIPATIVO!C42</f>
        <v>300</v>
      </c>
      <c r="E47" s="345"/>
      <c r="F47" s="345"/>
      <c r="G47" s="345"/>
      <c r="H47" s="241"/>
      <c r="I47" s="345">
        <f t="shared" ref="I47:I49" si="17">+D47+E47+F47+G47+H47</f>
        <v>300</v>
      </c>
    </row>
    <row r="48" spans="1:9" s="236" customFormat="1" x14ac:dyDescent="0.2">
      <c r="A48" s="244" t="s">
        <v>79</v>
      </c>
      <c r="B48" s="265" t="s">
        <v>80</v>
      </c>
      <c r="C48" s="241"/>
      <c r="D48" s="345">
        <v>613.13</v>
      </c>
      <c r="E48" s="345"/>
      <c r="F48" s="345">
        <v>-13.13</v>
      </c>
      <c r="G48" s="345"/>
      <c r="H48" s="241"/>
      <c r="I48" s="345">
        <f t="shared" si="17"/>
        <v>600</v>
      </c>
    </row>
    <row r="49" spans="1:9" s="236" customFormat="1" x14ac:dyDescent="0.2">
      <c r="A49" s="244" t="s">
        <v>81</v>
      </c>
      <c r="B49" s="265" t="s">
        <v>82</v>
      </c>
      <c r="C49" s="241"/>
      <c r="D49" s="345">
        <f>+PARTICIPATIVO!C39</f>
        <v>300</v>
      </c>
      <c r="E49" s="345"/>
      <c r="F49" s="345"/>
      <c r="G49" s="345"/>
      <c r="H49" s="241"/>
      <c r="I49" s="345">
        <f t="shared" si="17"/>
        <v>300</v>
      </c>
    </row>
    <row r="50" spans="1:9" s="236" customFormat="1" x14ac:dyDescent="0.2">
      <c r="A50" s="244"/>
      <c r="B50" s="265"/>
      <c r="C50" s="241"/>
      <c r="D50" s="345"/>
      <c r="E50" s="345"/>
      <c r="F50" s="345"/>
      <c r="G50" s="345"/>
      <c r="H50" s="241"/>
      <c r="I50" s="396"/>
    </row>
    <row r="51" spans="1:9" s="236" customFormat="1" x14ac:dyDescent="0.2">
      <c r="A51" s="240" t="s">
        <v>83</v>
      </c>
      <c r="B51" s="264" t="s">
        <v>293</v>
      </c>
      <c r="C51" s="239"/>
      <c r="D51" s="346">
        <f>+D52</f>
        <v>1382.99</v>
      </c>
      <c r="E51" s="346">
        <f t="shared" ref="E51:I51" si="18">+E52</f>
        <v>0</v>
      </c>
      <c r="F51" s="346">
        <f>+F52</f>
        <v>-2.99</v>
      </c>
      <c r="G51" s="346">
        <f t="shared" si="18"/>
        <v>0</v>
      </c>
      <c r="H51" s="346">
        <f t="shared" si="18"/>
        <v>0</v>
      </c>
      <c r="I51" s="346">
        <f t="shared" si="18"/>
        <v>1380</v>
      </c>
    </row>
    <row r="52" spans="1:9" s="236" customFormat="1" x14ac:dyDescent="0.2">
      <c r="A52" s="240" t="s">
        <v>84</v>
      </c>
      <c r="B52" s="264" t="s">
        <v>85</v>
      </c>
      <c r="C52" s="243"/>
      <c r="D52" s="344">
        <f>SUM(D53:D54)</f>
        <v>1382.99</v>
      </c>
      <c r="E52" s="344">
        <f t="shared" ref="E52:I52" si="19">SUM(E53:E54)</f>
        <v>0</v>
      </c>
      <c r="F52" s="344">
        <f t="shared" si="19"/>
        <v>-2.99</v>
      </c>
      <c r="G52" s="344">
        <f t="shared" si="19"/>
        <v>0</v>
      </c>
      <c r="H52" s="344">
        <f t="shared" si="19"/>
        <v>0</v>
      </c>
      <c r="I52" s="344">
        <f t="shared" si="19"/>
        <v>1380</v>
      </c>
    </row>
    <row r="53" spans="1:9" s="236" customFormat="1" x14ac:dyDescent="0.2">
      <c r="A53" s="244" t="s">
        <v>86</v>
      </c>
      <c r="B53" s="265" t="s">
        <v>170</v>
      </c>
      <c r="C53" s="243"/>
      <c r="D53" s="345">
        <v>1302.99</v>
      </c>
      <c r="E53" s="345"/>
      <c r="F53" s="345">
        <v>-2.99</v>
      </c>
      <c r="G53" s="345"/>
      <c r="H53" s="241"/>
      <c r="I53" s="345">
        <f t="shared" ref="I53:I54" si="20">+D53+E53+F53+G53+H53</f>
        <v>1300</v>
      </c>
    </row>
    <row r="54" spans="1:9" s="236" customFormat="1" x14ac:dyDescent="0.2">
      <c r="A54" s="244" t="s">
        <v>87</v>
      </c>
      <c r="B54" s="265" t="s">
        <v>88</v>
      </c>
      <c r="C54" s="243"/>
      <c r="D54" s="345">
        <f>+PARTICIPATIVO!C41</f>
        <v>80</v>
      </c>
      <c r="E54" s="345"/>
      <c r="F54" s="345"/>
      <c r="G54" s="345"/>
      <c r="H54" s="241"/>
      <c r="I54" s="345">
        <f t="shared" si="20"/>
        <v>80</v>
      </c>
    </row>
    <row r="55" spans="1:9" s="236" customFormat="1" x14ac:dyDescent="0.2">
      <c r="A55" s="244"/>
      <c r="B55" s="265"/>
      <c r="C55" s="243"/>
      <c r="D55" s="345"/>
      <c r="E55" s="345"/>
      <c r="F55" s="345"/>
      <c r="G55" s="345"/>
      <c r="H55" s="241"/>
      <c r="I55" s="399"/>
    </row>
    <row r="56" spans="1:9" s="236" customFormat="1" x14ac:dyDescent="0.2">
      <c r="A56" s="240" t="s">
        <v>106</v>
      </c>
      <c r="B56" s="264" t="s">
        <v>292</v>
      </c>
      <c r="C56" s="241"/>
      <c r="D56" s="346">
        <f>+D57+D62</f>
        <v>6979.4000000000005</v>
      </c>
      <c r="E56" s="346">
        <f t="shared" ref="E56:I56" si="21">+E57+E62</f>
        <v>0</v>
      </c>
      <c r="F56" s="346">
        <f>+F57+F62</f>
        <v>2043.52</v>
      </c>
      <c r="G56" s="346">
        <f t="shared" si="21"/>
        <v>0</v>
      </c>
      <c r="H56" s="346">
        <f t="shared" si="21"/>
        <v>0</v>
      </c>
      <c r="I56" s="346">
        <f t="shared" si="21"/>
        <v>9022.92</v>
      </c>
    </row>
    <row r="57" spans="1:9" s="236" customFormat="1" x14ac:dyDescent="0.2">
      <c r="A57" s="240" t="s">
        <v>107</v>
      </c>
      <c r="B57" s="264" t="s">
        <v>579</v>
      </c>
      <c r="C57" s="241"/>
      <c r="D57" s="344">
        <f>+D58+D60+D59</f>
        <v>6679.4000000000005</v>
      </c>
      <c r="E57" s="344">
        <f t="shared" ref="E57:H57" si="22">+E58+E60</f>
        <v>0</v>
      </c>
      <c r="F57" s="344">
        <f>+F58+F60</f>
        <v>1993.52</v>
      </c>
      <c r="G57" s="344">
        <f t="shared" si="22"/>
        <v>0</v>
      </c>
      <c r="H57" s="344">
        <f t="shared" si="22"/>
        <v>0</v>
      </c>
      <c r="I57" s="344">
        <f>+I58+I60+I59</f>
        <v>8672.92</v>
      </c>
    </row>
    <row r="58" spans="1:9" s="236" customFormat="1" x14ac:dyDescent="0.2">
      <c r="A58" s="244" t="s">
        <v>526</v>
      </c>
      <c r="B58" s="265" t="s">
        <v>527</v>
      </c>
      <c r="C58" s="241"/>
      <c r="D58" s="261">
        <v>533.72</v>
      </c>
      <c r="E58" s="261"/>
      <c r="F58" s="261">
        <v>1226.28</v>
      </c>
      <c r="G58" s="261"/>
      <c r="H58" s="241"/>
      <c r="I58" s="345">
        <f t="shared" ref="I58:I61" si="23">+D58+E58+F58+G58+H58</f>
        <v>1760</v>
      </c>
    </row>
    <row r="59" spans="1:9" s="236" customFormat="1" x14ac:dyDescent="0.2">
      <c r="A59" s="244" t="s">
        <v>608</v>
      </c>
      <c r="B59" s="265" t="s">
        <v>607</v>
      </c>
      <c r="C59" s="241"/>
      <c r="D59" s="261">
        <v>1757.92</v>
      </c>
      <c r="E59" s="261"/>
      <c r="F59" s="261"/>
      <c r="G59" s="261"/>
      <c r="H59" s="241"/>
      <c r="I59" s="345">
        <f t="shared" si="23"/>
        <v>1757.92</v>
      </c>
    </row>
    <row r="60" spans="1:9" s="236" customFormat="1" ht="11.4" x14ac:dyDescent="0.2">
      <c r="A60" s="244" t="s">
        <v>478</v>
      </c>
      <c r="B60" s="265" t="s">
        <v>521</v>
      </c>
      <c r="C60" s="241"/>
      <c r="D60" s="419">
        <v>4387.76</v>
      </c>
      <c r="E60" s="419"/>
      <c r="F60" s="419">
        <v>767.24</v>
      </c>
      <c r="G60" s="419"/>
      <c r="H60" s="241"/>
      <c r="I60" s="345">
        <f t="shared" si="23"/>
        <v>5155</v>
      </c>
    </row>
    <row r="61" spans="1:9" s="236" customFormat="1" x14ac:dyDescent="0.2">
      <c r="A61" s="244"/>
      <c r="B61" s="337"/>
      <c r="C61" s="239"/>
      <c r="D61" s="345"/>
      <c r="E61" s="345"/>
      <c r="F61" s="345"/>
      <c r="G61" s="345"/>
      <c r="H61" s="241"/>
      <c r="I61" s="399">
        <f t="shared" si="23"/>
        <v>0</v>
      </c>
    </row>
    <row r="62" spans="1:9" s="236" customFormat="1" x14ac:dyDescent="0.2">
      <c r="A62" s="240" t="s">
        <v>171</v>
      </c>
      <c r="B62" s="264" t="s">
        <v>172</v>
      </c>
      <c r="C62" s="243"/>
      <c r="D62" s="344">
        <f>SUM(D63)</f>
        <v>300</v>
      </c>
      <c r="E62" s="344">
        <f t="shared" ref="E62:I62" si="24">SUM(E63)</f>
        <v>0</v>
      </c>
      <c r="F62" s="344">
        <f>SUM(F63)</f>
        <v>50</v>
      </c>
      <c r="G62" s="344">
        <f t="shared" si="24"/>
        <v>0</v>
      </c>
      <c r="H62" s="344">
        <f t="shared" si="24"/>
        <v>0</v>
      </c>
      <c r="I62" s="344">
        <f t="shared" si="24"/>
        <v>350</v>
      </c>
    </row>
    <row r="63" spans="1:9" s="236" customFormat="1" x14ac:dyDescent="0.2">
      <c r="A63" s="244" t="s">
        <v>173</v>
      </c>
      <c r="B63" s="265" t="s">
        <v>174</v>
      </c>
      <c r="C63" s="241"/>
      <c r="D63" s="345">
        <v>300</v>
      </c>
      <c r="E63" s="345"/>
      <c r="F63" s="345">
        <v>50</v>
      </c>
      <c r="G63" s="345"/>
      <c r="H63" s="241"/>
      <c r="I63" s="345">
        <f>+D63+E63+F63+G63+H63</f>
        <v>350</v>
      </c>
    </row>
    <row r="64" spans="1:9" s="236" customFormat="1" x14ac:dyDescent="0.2">
      <c r="A64" s="244"/>
      <c r="B64" s="265"/>
      <c r="C64" s="241"/>
      <c r="D64" s="345"/>
      <c r="E64" s="345"/>
      <c r="F64" s="345"/>
      <c r="G64" s="345"/>
      <c r="H64" s="241"/>
      <c r="I64" s="399"/>
    </row>
    <row r="65" spans="1:9" s="236" customFormat="1" ht="29.25" customHeight="1" x14ac:dyDescent="0.2">
      <c r="A65" s="355" t="s">
        <v>289</v>
      </c>
      <c r="B65" s="356" t="s">
        <v>515</v>
      </c>
      <c r="C65" s="357"/>
      <c r="D65" s="420">
        <f>+D67</f>
        <v>8817.83</v>
      </c>
      <c r="E65" s="420">
        <f t="shared" ref="E65:I65" si="25">+E67</f>
        <v>0</v>
      </c>
      <c r="F65" s="420">
        <f t="shared" si="25"/>
        <v>0</v>
      </c>
      <c r="G65" s="420">
        <f t="shared" si="25"/>
        <v>0</v>
      </c>
      <c r="H65" s="384">
        <f t="shared" si="25"/>
        <v>0</v>
      </c>
      <c r="I65" s="400">
        <f t="shared" si="25"/>
        <v>8817.83</v>
      </c>
    </row>
    <row r="66" spans="1:9" s="236" customFormat="1" x14ac:dyDescent="0.2">
      <c r="A66" s="240" t="s">
        <v>39</v>
      </c>
      <c r="B66" s="264" t="s">
        <v>40</v>
      </c>
      <c r="C66" s="241"/>
      <c r="D66" s="248"/>
      <c r="E66" s="248"/>
      <c r="F66" s="248"/>
      <c r="G66" s="248"/>
      <c r="H66" s="241"/>
      <c r="I66" s="401"/>
    </row>
    <row r="67" spans="1:9" s="236" customFormat="1" x14ac:dyDescent="0.2">
      <c r="A67" s="240" t="s">
        <v>310</v>
      </c>
      <c r="B67" s="264" t="s">
        <v>311</v>
      </c>
      <c r="C67" s="241"/>
      <c r="D67" s="242">
        <f>+D68</f>
        <v>8817.83</v>
      </c>
      <c r="E67" s="242">
        <f t="shared" ref="E67:I67" si="26">+E68</f>
        <v>0</v>
      </c>
      <c r="F67" s="242">
        <f t="shared" si="26"/>
        <v>0</v>
      </c>
      <c r="G67" s="242">
        <f t="shared" si="26"/>
        <v>0</v>
      </c>
      <c r="H67" s="242">
        <f t="shared" si="26"/>
        <v>0</v>
      </c>
      <c r="I67" s="396">
        <f t="shared" si="26"/>
        <v>8817.83</v>
      </c>
    </row>
    <row r="68" spans="1:9" s="236" customFormat="1" x14ac:dyDescent="0.2">
      <c r="A68" s="240" t="s">
        <v>103</v>
      </c>
      <c r="B68" s="264" t="s">
        <v>276</v>
      </c>
      <c r="C68" s="241" t="s">
        <v>402</v>
      </c>
      <c r="D68" s="243">
        <f>+D69+D70+D71</f>
        <v>8817.83</v>
      </c>
      <c r="E68" s="243">
        <f t="shared" ref="E68:I68" si="27">+E69+E70+E71</f>
        <v>0</v>
      </c>
      <c r="F68" s="243">
        <f t="shared" si="27"/>
        <v>0</v>
      </c>
      <c r="G68" s="243">
        <f t="shared" si="27"/>
        <v>0</v>
      </c>
      <c r="H68" s="243">
        <f t="shared" si="27"/>
        <v>0</v>
      </c>
      <c r="I68" s="344">
        <f t="shared" si="27"/>
        <v>8817.83</v>
      </c>
    </row>
    <row r="69" spans="1:9" s="236" customFormat="1" ht="13.2" x14ac:dyDescent="0.25">
      <c r="A69" s="244" t="s">
        <v>511</v>
      </c>
      <c r="B69" s="265" t="s">
        <v>513</v>
      </c>
      <c r="C69" s="241"/>
      <c r="D69" s="421">
        <v>4986</v>
      </c>
      <c r="E69" s="421"/>
      <c r="F69" s="421"/>
      <c r="G69" s="421"/>
      <c r="H69" s="241"/>
      <c r="I69" s="345">
        <f t="shared" ref="I69:I71" si="28">+D69+E69+F69+G69+H69</f>
        <v>4986</v>
      </c>
    </row>
    <row r="70" spans="1:9" s="236" customFormat="1" ht="13.2" x14ac:dyDescent="0.25">
      <c r="A70" s="244" t="s">
        <v>512</v>
      </c>
      <c r="B70" s="265" t="s">
        <v>514</v>
      </c>
      <c r="C70" s="241"/>
      <c r="D70" s="422">
        <v>966.23</v>
      </c>
      <c r="E70" s="422"/>
      <c r="F70" s="422"/>
      <c r="G70" s="422"/>
      <c r="H70" s="241"/>
      <c r="I70" s="345">
        <f t="shared" si="28"/>
        <v>966.23</v>
      </c>
    </row>
    <row r="71" spans="1:9" s="236" customFormat="1" ht="13.2" x14ac:dyDescent="0.25">
      <c r="A71" s="244" t="s">
        <v>382</v>
      </c>
      <c r="B71" s="265" t="s">
        <v>385</v>
      </c>
      <c r="C71" s="241"/>
      <c r="D71" s="421">
        <v>2865.6</v>
      </c>
      <c r="E71" s="421"/>
      <c r="F71" s="421"/>
      <c r="G71" s="421"/>
      <c r="H71" s="241"/>
      <c r="I71" s="345">
        <f t="shared" si="28"/>
        <v>2865.6</v>
      </c>
    </row>
    <row r="72" spans="1:9" s="236" customFormat="1" ht="29.25" customHeight="1" x14ac:dyDescent="0.2">
      <c r="A72" s="355" t="s">
        <v>289</v>
      </c>
      <c r="B72" s="365" t="s">
        <v>516</v>
      </c>
      <c r="C72" s="351"/>
      <c r="D72" s="243">
        <f>+D74</f>
        <v>9113.36</v>
      </c>
      <c r="E72" s="243">
        <f t="shared" ref="E72:I72" si="29">+E74</f>
        <v>-300</v>
      </c>
      <c r="F72" s="243">
        <f t="shared" si="29"/>
        <v>9.9999999999997868E-2</v>
      </c>
      <c r="G72" s="243">
        <f t="shared" si="29"/>
        <v>0</v>
      </c>
      <c r="H72" s="368">
        <f t="shared" si="29"/>
        <v>0</v>
      </c>
      <c r="I72" s="402">
        <f t="shared" si="29"/>
        <v>8813.4600000000009</v>
      </c>
    </row>
    <row r="73" spans="1:9" s="236" customFormat="1" x14ac:dyDescent="0.2">
      <c r="A73" s="385" t="s">
        <v>39</v>
      </c>
      <c r="B73" s="386" t="s">
        <v>40</v>
      </c>
      <c r="C73" s="255"/>
      <c r="D73" s="248"/>
      <c r="E73" s="248"/>
      <c r="F73" s="248"/>
      <c r="G73" s="248"/>
      <c r="H73" s="255">
        <f t="shared" ref="H73:H87" si="30">+D73</f>
        <v>0</v>
      </c>
      <c r="I73" s="403"/>
    </row>
    <row r="74" spans="1:9" s="236" customFormat="1" x14ac:dyDescent="0.2">
      <c r="A74" s="240" t="s">
        <v>310</v>
      </c>
      <c r="B74" s="264" t="s">
        <v>311</v>
      </c>
      <c r="C74" s="241"/>
      <c r="D74" s="242">
        <f>+D75</f>
        <v>9113.36</v>
      </c>
      <c r="E74" s="242">
        <f t="shared" ref="E74:H74" si="31">+E75</f>
        <v>-300</v>
      </c>
      <c r="F74" s="242">
        <f t="shared" si="31"/>
        <v>9.9999999999997868E-2</v>
      </c>
      <c r="G74" s="242">
        <f t="shared" si="31"/>
        <v>0</v>
      </c>
      <c r="H74" s="242">
        <f t="shared" si="31"/>
        <v>0</v>
      </c>
      <c r="I74" s="396">
        <f>+I75</f>
        <v>8813.4600000000009</v>
      </c>
    </row>
    <row r="75" spans="1:9" s="236" customFormat="1" x14ac:dyDescent="0.2">
      <c r="A75" s="240" t="s">
        <v>103</v>
      </c>
      <c r="B75" s="264" t="s">
        <v>276</v>
      </c>
      <c r="C75" s="241" t="s">
        <v>402</v>
      </c>
      <c r="D75" s="243">
        <f>+D76+D77+D78+D79</f>
        <v>9113.36</v>
      </c>
      <c r="E75" s="243">
        <f>+E76+E77+E78+E79</f>
        <v>-300</v>
      </c>
      <c r="F75" s="243">
        <f t="shared" ref="F75:H75" si="32">+F76+F77+F78+F79</f>
        <v>9.9999999999997868E-2</v>
      </c>
      <c r="G75" s="243">
        <f t="shared" si="32"/>
        <v>0</v>
      </c>
      <c r="H75" s="243">
        <f t="shared" si="32"/>
        <v>0</v>
      </c>
      <c r="I75" s="344">
        <f>+I76+I77+I78+I79</f>
        <v>8813.4600000000009</v>
      </c>
    </row>
    <row r="76" spans="1:9" s="236" customFormat="1" ht="13.2" x14ac:dyDescent="0.25">
      <c r="A76" s="244" t="s">
        <v>511</v>
      </c>
      <c r="B76" s="265" t="s">
        <v>513</v>
      </c>
      <c r="C76" s="241"/>
      <c r="D76" s="241">
        <v>5916.6</v>
      </c>
      <c r="E76" s="423"/>
      <c r="F76" s="423"/>
      <c r="G76" s="423"/>
      <c r="H76" s="241"/>
      <c r="I76" s="345">
        <f t="shared" ref="I76:I79" si="33">+D76+E76+F76+G76+H76</f>
        <v>5916.6</v>
      </c>
    </row>
    <row r="77" spans="1:9" s="236" customFormat="1" x14ac:dyDescent="0.2">
      <c r="A77" s="244" t="s">
        <v>512</v>
      </c>
      <c r="B77" s="265" t="s">
        <v>514</v>
      </c>
      <c r="C77" s="241"/>
      <c r="D77" s="241">
        <v>500</v>
      </c>
      <c r="E77" s="241"/>
      <c r="F77" s="241">
        <v>-21.44</v>
      </c>
      <c r="G77" s="241"/>
      <c r="H77" s="241"/>
      <c r="I77" s="345">
        <f>+D77+E77+F77+G77+H77</f>
        <v>478.56</v>
      </c>
    </row>
    <row r="78" spans="1:9" s="236" customFormat="1" ht="13.2" x14ac:dyDescent="0.25">
      <c r="A78" s="244" t="s">
        <v>382</v>
      </c>
      <c r="B78" s="265" t="s">
        <v>385</v>
      </c>
      <c r="C78" s="241"/>
      <c r="D78" s="241">
        <v>1711.26</v>
      </c>
      <c r="E78" s="241">
        <v>-300</v>
      </c>
      <c r="F78" s="241">
        <v>21.54</v>
      </c>
      <c r="G78" s="423"/>
      <c r="H78" s="241"/>
      <c r="I78" s="345">
        <f>+D78+E78+F78+G78+H78</f>
        <v>1432.8</v>
      </c>
    </row>
    <row r="79" spans="1:9" s="246" customFormat="1" ht="30.6" x14ac:dyDescent="0.2">
      <c r="A79" s="244" t="s">
        <v>297</v>
      </c>
      <c r="B79" s="265" t="s">
        <v>316</v>
      </c>
      <c r="C79" s="241"/>
      <c r="D79" s="241">
        <v>985.5</v>
      </c>
      <c r="E79" s="241"/>
      <c r="F79" s="241"/>
      <c r="G79" s="241"/>
      <c r="H79" s="241"/>
      <c r="I79" s="345">
        <f t="shared" si="33"/>
        <v>985.5</v>
      </c>
    </row>
    <row r="80" spans="1:9" s="236" customFormat="1" ht="17.25" customHeight="1" x14ac:dyDescent="0.2">
      <c r="A80" s="253"/>
      <c r="B80" s="265"/>
      <c r="C80" s="243"/>
      <c r="D80" s="241"/>
      <c r="E80" s="241"/>
      <c r="F80" s="241"/>
      <c r="G80" s="241"/>
      <c r="H80" s="241"/>
      <c r="I80" s="396"/>
    </row>
    <row r="81" spans="1:9" s="236" customFormat="1" ht="30.75" customHeight="1" x14ac:dyDescent="0.2">
      <c r="A81" s="355" t="s">
        <v>289</v>
      </c>
      <c r="B81" s="356" t="s">
        <v>498</v>
      </c>
      <c r="C81" s="357"/>
      <c r="D81" s="243">
        <f>+D83</f>
        <v>63240.93</v>
      </c>
      <c r="E81" s="243">
        <f t="shared" ref="E81:I81" si="34">+E83</f>
        <v>0</v>
      </c>
      <c r="F81" s="243">
        <f t="shared" si="34"/>
        <v>8799.7000000000007</v>
      </c>
      <c r="G81" s="243">
        <f t="shared" si="34"/>
        <v>0</v>
      </c>
      <c r="H81" s="368">
        <f t="shared" si="34"/>
        <v>0</v>
      </c>
      <c r="I81" s="402">
        <f t="shared" si="34"/>
        <v>72040.63</v>
      </c>
    </row>
    <row r="82" spans="1:9" s="236" customFormat="1" x14ac:dyDescent="0.2">
      <c r="A82" s="240" t="s">
        <v>39</v>
      </c>
      <c r="B82" s="264" t="s">
        <v>40</v>
      </c>
      <c r="C82" s="241"/>
      <c r="D82" s="248"/>
      <c r="E82" s="248"/>
      <c r="F82" s="248"/>
      <c r="G82" s="248"/>
      <c r="H82" s="241"/>
      <c r="I82" s="401"/>
    </row>
    <row r="83" spans="1:9" s="236" customFormat="1" x14ac:dyDescent="0.2">
      <c r="A83" s="240" t="s">
        <v>310</v>
      </c>
      <c r="B83" s="264" t="s">
        <v>311</v>
      </c>
      <c r="C83" s="241"/>
      <c r="D83" s="243">
        <f>+D84+D97+D109</f>
        <v>63240.93</v>
      </c>
      <c r="E83" s="243">
        <f t="shared" ref="E83:H83" si="35">+E84+E97+E109</f>
        <v>0</v>
      </c>
      <c r="F83" s="243">
        <f>+F84+F97+F109</f>
        <v>8799.7000000000007</v>
      </c>
      <c r="G83" s="243">
        <f t="shared" si="35"/>
        <v>0</v>
      </c>
      <c r="H83" s="243">
        <f t="shared" si="35"/>
        <v>0</v>
      </c>
      <c r="I83" s="344">
        <f>+I84+I97+I109</f>
        <v>72040.63</v>
      </c>
    </row>
    <row r="84" spans="1:9" s="236" customFormat="1" x14ac:dyDescent="0.2">
      <c r="A84" s="240" t="s">
        <v>89</v>
      </c>
      <c r="B84" s="264" t="s">
        <v>295</v>
      </c>
      <c r="C84" s="241"/>
      <c r="D84" s="243">
        <f>+D85+D88+D92</f>
        <v>9809.85</v>
      </c>
      <c r="E84" s="243">
        <f t="shared" ref="E84:H84" si="36">+E85+E88+E92</f>
        <v>-1989.08</v>
      </c>
      <c r="F84" s="243">
        <f>+F85+F88+F92</f>
        <v>2905.69</v>
      </c>
      <c r="G84" s="243">
        <f t="shared" si="36"/>
        <v>0</v>
      </c>
      <c r="H84" s="243">
        <f t="shared" si="36"/>
        <v>0</v>
      </c>
      <c r="I84" s="344">
        <f>+I85+I88+I92</f>
        <v>10726.46</v>
      </c>
    </row>
    <row r="85" spans="1:9" s="236" customFormat="1" x14ac:dyDescent="0.2">
      <c r="A85" s="240" t="s">
        <v>90</v>
      </c>
      <c r="B85" s="264" t="s">
        <v>44</v>
      </c>
      <c r="C85" s="243"/>
      <c r="D85" s="243">
        <f>+D86</f>
        <v>8040</v>
      </c>
      <c r="E85" s="243">
        <f t="shared" ref="E85:I85" si="37">+E86</f>
        <v>-1989.08</v>
      </c>
      <c r="F85" s="243">
        <f t="shared" si="37"/>
        <v>1989.08</v>
      </c>
      <c r="G85" s="243">
        <f t="shared" si="37"/>
        <v>0</v>
      </c>
      <c r="H85" s="243">
        <f t="shared" si="37"/>
        <v>0</v>
      </c>
      <c r="I85" s="344">
        <f t="shared" si="37"/>
        <v>8040</v>
      </c>
    </row>
    <row r="86" spans="1:9" s="236" customFormat="1" x14ac:dyDescent="0.2">
      <c r="A86" s="244" t="s">
        <v>520</v>
      </c>
      <c r="B86" s="265" t="s">
        <v>519</v>
      </c>
      <c r="C86" s="243" t="s">
        <v>404</v>
      </c>
      <c r="D86" s="241">
        <f>+DISTRIBUTIVO!E21</f>
        <v>8040</v>
      </c>
      <c r="E86" s="241">
        <v>-1989.08</v>
      </c>
      <c r="F86" s="241">
        <v>1989.08</v>
      </c>
      <c r="G86" s="241"/>
      <c r="H86" s="241"/>
      <c r="I86" s="345">
        <f>+D86+E86+F86+G86+H86</f>
        <v>8040</v>
      </c>
    </row>
    <row r="87" spans="1:9" s="236" customFormat="1" x14ac:dyDescent="0.2">
      <c r="A87" s="240"/>
      <c r="B87" s="264"/>
      <c r="C87" s="243"/>
      <c r="D87" s="243"/>
      <c r="E87" s="243"/>
      <c r="F87" s="243"/>
      <c r="G87" s="243"/>
      <c r="H87" s="241">
        <f t="shared" si="30"/>
        <v>0</v>
      </c>
      <c r="I87" s="396"/>
    </row>
    <row r="88" spans="1:9" s="236" customFormat="1" x14ac:dyDescent="0.2">
      <c r="A88" s="240" t="s">
        <v>92</v>
      </c>
      <c r="B88" s="264" t="s">
        <v>48</v>
      </c>
      <c r="D88" s="243">
        <f>+D89+D90</f>
        <v>847.5</v>
      </c>
      <c r="E88" s="243">
        <f t="shared" ref="E88:I88" si="38">+E89+E90</f>
        <v>0</v>
      </c>
      <c r="F88" s="243">
        <f t="shared" si="38"/>
        <v>272.5</v>
      </c>
      <c r="G88" s="243">
        <f t="shared" si="38"/>
        <v>0</v>
      </c>
      <c r="H88" s="243">
        <f t="shared" si="38"/>
        <v>0</v>
      </c>
      <c r="I88" s="344">
        <f t="shared" si="38"/>
        <v>1120</v>
      </c>
    </row>
    <row r="89" spans="1:9" s="236" customFormat="1" x14ac:dyDescent="0.2">
      <c r="A89" s="244" t="s">
        <v>93</v>
      </c>
      <c r="B89" s="265" t="s">
        <v>50</v>
      </c>
      <c r="C89" s="243" t="s">
        <v>412</v>
      </c>
      <c r="D89" s="241">
        <v>614.16999999999996</v>
      </c>
      <c r="E89" s="241"/>
      <c r="F89" s="241">
        <f>670-D89</f>
        <v>55.830000000000041</v>
      </c>
      <c r="G89" s="241"/>
      <c r="H89" s="241"/>
      <c r="I89" s="345">
        <f t="shared" ref="I89:I90" si="39">+D89+E89+F89+G89+H89</f>
        <v>670</v>
      </c>
    </row>
    <row r="90" spans="1:9" s="236" customFormat="1" x14ac:dyDescent="0.2">
      <c r="A90" s="244" t="s">
        <v>94</v>
      </c>
      <c r="B90" s="265" t="s">
        <v>52</v>
      </c>
      <c r="C90" s="243" t="s">
        <v>412</v>
      </c>
      <c r="D90" s="241">
        <v>233.33</v>
      </c>
      <c r="E90" s="241"/>
      <c r="F90" s="241">
        <f>450-D90</f>
        <v>216.67</v>
      </c>
      <c r="G90" s="241"/>
      <c r="H90" s="241"/>
      <c r="I90" s="345">
        <f t="shared" si="39"/>
        <v>450</v>
      </c>
    </row>
    <row r="91" spans="1:9" s="236" customFormat="1" x14ac:dyDescent="0.2">
      <c r="A91" s="244"/>
      <c r="B91" s="265"/>
      <c r="C91" s="243"/>
      <c r="D91" s="241"/>
      <c r="E91" s="241"/>
      <c r="F91" s="241"/>
      <c r="G91" s="241"/>
      <c r="H91" s="241"/>
      <c r="I91" s="396"/>
    </row>
    <row r="92" spans="1:9" s="236" customFormat="1" x14ac:dyDescent="0.2">
      <c r="A92" s="250" t="s">
        <v>96</v>
      </c>
      <c r="B92" s="268" t="s">
        <v>62</v>
      </c>
      <c r="C92" s="251"/>
      <c r="D92" s="252">
        <f>+D93+D94</f>
        <v>922.35</v>
      </c>
      <c r="E92" s="252">
        <f t="shared" ref="E92:I92" si="40">+E93+E94</f>
        <v>0</v>
      </c>
      <c r="F92" s="243">
        <f>F93+F94</f>
        <v>644.11</v>
      </c>
      <c r="G92" s="252">
        <f t="shared" si="40"/>
        <v>0</v>
      </c>
      <c r="H92" s="252">
        <f t="shared" si="40"/>
        <v>0</v>
      </c>
      <c r="I92" s="404">
        <f t="shared" si="40"/>
        <v>1566.46</v>
      </c>
    </row>
    <row r="93" spans="1:9" s="236" customFormat="1" x14ac:dyDescent="0.2">
      <c r="A93" s="244" t="s">
        <v>97</v>
      </c>
      <c r="B93" s="265" t="s">
        <v>64</v>
      </c>
      <c r="C93" s="243" t="s">
        <v>412</v>
      </c>
      <c r="D93" s="241">
        <v>672.35</v>
      </c>
      <c r="E93" s="241"/>
      <c r="F93" s="241">
        <f>896.46-D93</f>
        <v>224.11</v>
      </c>
      <c r="G93" s="241"/>
      <c r="H93" s="241"/>
      <c r="I93" s="345">
        <f t="shared" ref="I93:I94" si="41">+D93+E93+F93+G93+H93</f>
        <v>896.46</v>
      </c>
    </row>
    <row r="94" spans="1:9" s="236" customFormat="1" x14ac:dyDescent="0.2">
      <c r="A94" s="253" t="s">
        <v>98</v>
      </c>
      <c r="B94" s="269" t="s">
        <v>401</v>
      </c>
      <c r="C94" s="252" t="s">
        <v>412</v>
      </c>
      <c r="D94" s="251">
        <v>250</v>
      </c>
      <c r="E94" s="251"/>
      <c r="F94" s="241">
        <f>670-D94</f>
        <v>420</v>
      </c>
      <c r="G94" s="251"/>
      <c r="H94" s="241"/>
      <c r="I94" s="345">
        <f t="shared" si="41"/>
        <v>670</v>
      </c>
    </row>
    <row r="95" spans="1:9" s="236" customFormat="1" x14ac:dyDescent="0.2">
      <c r="A95" s="253"/>
      <c r="B95" s="269"/>
      <c r="C95" s="252"/>
      <c r="D95" s="251"/>
      <c r="E95" s="251"/>
      <c r="F95" s="251"/>
      <c r="G95" s="251"/>
      <c r="H95" s="241"/>
      <c r="I95" s="345"/>
    </row>
    <row r="96" spans="1:9" s="236" customFormat="1" x14ac:dyDescent="0.2">
      <c r="A96" s="253"/>
      <c r="B96" s="269"/>
      <c r="C96" s="252"/>
      <c r="D96" s="251"/>
      <c r="E96" s="251"/>
      <c r="F96" s="251"/>
      <c r="G96" s="251"/>
      <c r="H96" s="241"/>
      <c r="I96" s="345"/>
    </row>
    <row r="97" spans="1:9" s="236" customFormat="1" x14ac:dyDescent="0.2">
      <c r="A97" s="250" t="s">
        <v>99</v>
      </c>
      <c r="B97" s="268" t="s">
        <v>573</v>
      </c>
      <c r="C97" s="252"/>
      <c r="D97" s="252">
        <f>+D98+D101+D104</f>
        <v>8650</v>
      </c>
      <c r="E97" s="252">
        <f t="shared" ref="E97:H97" si="42">+E98+E101+E104</f>
        <v>1989.08</v>
      </c>
      <c r="F97" s="252">
        <f>+F98+F101+F104</f>
        <v>4000</v>
      </c>
      <c r="G97" s="252">
        <f t="shared" si="42"/>
        <v>0</v>
      </c>
      <c r="H97" s="252">
        <f t="shared" si="42"/>
        <v>0</v>
      </c>
      <c r="I97" s="404">
        <f>+I98+I101+I104</f>
        <v>14639.08</v>
      </c>
    </row>
    <row r="98" spans="1:9" s="236" customFormat="1" x14ac:dyDescent="0.2">
      <c r="A98" s="250" t="s">
        <v>271</v>
      </c>
      <c r="B98" s="268" t="s">
        <v>522</v>
      </c>
      <c r="C98" s="252"/>
      <c r="D98" s="252">
        <f>+D99</f>
        <v>600</v>
      </c>
      <c r="E98" s="252">
        <f t="shared" ref="E98:I98" si="43">+E99</f>
        <v>0</v>
      </c>
      <c r="F98" s="252">
        <f t="shared" si="43"/>
        <v>0</v>
      </c>
      <c r="G98" s="252">
        <f t="shared" si="43"/>
        <v>0</v>
      </c>
      <c r="H98" s="252">
        <f t="shared" si="43"/>
        <v>0</v>
      </c>
      <c r="I98" s="404">
        <f t="shared" si="43"/>
        <v>600</v>
      </c>
    </row>
    <row r="99" spans="1:9" s="236" customFormat="1" x14ac:dyDescent="0.2">
      <c r="A99" s="244" t="s">
        <v>517</v>
      </c>
      <c r="B99" s="265" t="s">
        <v>518</v>
      </c>
      <c r="C99" s="241"/>
      <c r="D99" s="352">
        <v>600</v>
      </c>
      <c r="E99" s="352"/>
      <c r="F99" s="352"/>
      <c r="G99" s="352"/>
      <c r="H99" s="241"/>
      <c r="I99" s="345">
        <f t="shared" ref="I99" si="44">+D99+E99+F99+G99+H99</f>
        <v>600</v>
      </c>
    </row>
    <row r="100" spans="1:9" s="236" customFormat="1" x14ac:dyDescent="0.2">
      <c r="A100" s="244"/>
      <c r="B100" s="265"/>
      <c r="C100" s="241"/>
      <c r="D100" s="352"/>
      <c r="E100" s="352"/>
      <c r="F100" s="352"/>
      <c r="G100" s="352"/>
      <c r="H100" s="241"/>
      <c r="I100" s="345"/>
    </row>
    <row r="101" spans="1:9" s="236" customFormat="1" x14ac:dyDescent="0.2">
      <c r="A101" s="240" t="s">
        <v>571</v>
      </c>
      <c r="B101" s="264" t="s">
        <v>269</v>
      </c>
      <c r="C101" s="240"/>
      <c r="D101" s="243">
        <f t="shared" ref="D101:I101" si="45">+D102</f>
        <v>1800</v>
      </c>
      <c r="E101" s="240">
        <f t="shared" si="45"/>
        <v>0</v>
      </c>
      <c r="F101" s="264">
        <f t="shared" si="45"/>
        <v>0</v>
      </c>
      <c r="G101" s="240">
        <f t="shared" si="45"/>
        <v>0</v>
      </c>
      <c r="H101" s="264">
        <f t="shared" si="45"/>
        <v>0</v>
      </c>
      <c r="I101" s="405">
        <f t="shared" si="45"/>
        <v>1800</v>
      </c>
    </row>
    <row r="102" spans="1:9" s="236" customFormat="1" x14ac:dyDescent="0.2">
      <c r="A102" s="244" t="s">
        <v>572</v>
      </c>
      <c r="B102" s="265" t="s">
        <v>562</v>
      </c>
      <c r="C102" s="243"/>
      <c r="D102" s="241">
        <v>1800</v>
      </c>
      <c r="E102" s="241"/>
      <c r="F102" s="241"/>
      <c r="G102" s="241"/>
      <c r="H102" s="241"/>
      <c r="I102" s="345">
        <f>+D102+E102+F102+G102+H102</f>
        <v>1800</v>
      </c>
    </row>
    <row r="103" spans="1:9" s="236" customFormat="1" x14ac:dyDescent="0.2">
      <c r="A103" s="253"/>
      <c r="B103" s="269"/>
      <c r="C103" s="252"/>
      <c r="D103" s="251"/>
      <c r="E103" s="251"/>
      <c r="F103" s="251"/>
      <c r="G103" s="251"/>
      <c r="H103" s="241"/>
      <c r="I103" s="406"/>
    </row>
    <row r="104" spans="1:9" s="236" customFormat="1" x14ac:dyDescent="0.2">
      <c r="A104" s="240" t="s">
        <v>103</v>
      </c>
      <c r="B104" s="264" t="s">
        <v>276</v>
      </c>
      <c r="C104" s="241"/>
      <c r="D104" s="340">
        <f>D106+D105+D107</f>
        <v>6250</v>
      </c>
      <c r="E104" s="340">
        <f t="shared" ref="E104:I104" si="46">E106+E105+E107</f>
        <v>1989.08</v>
      </c>
      <c r="F104" s="340">
        <f t="shared" si="46"/>
        <v>4000</v>
      </c>
      <c r="G104" s="340">
        <f t="shared" si="46"/>
        <v>0</v>
      </c>
      <c r="H104" s="340">
        <f t="shared" si="46"/>
        <v>0</v>
      </c>
      <c r="I104" s="398">
        <f t="shared" si="46"/>
        <v>12239.08</v>
      </c>
    </row>
    <row r="105" spans="1:9" s="236" customFormat="1" x14ac:dyDescent="0.2">
      <c r="A105" s="244" t="s">
        <v>275</v>
      </c>
      <c r="B105" s="265" t="s">
        <v>318</v>
      </c>
      <c r="C105" s="241"/>
      <c r="D105" s="241">
        <v>1050</v>
      </c>
      <c r="E105" s="241"/>
      <c r="F105" s="241">
        <v>2000</v>
      </c>
      <c r="G105" s="241"/>
      <c r="H105" s="241"/>
      <c r="I105" s="345">
        <f>+D105+E105+F105+G105+H105</f>
        <v>3050</v>
      </c>
    </row>
    <row r="106" spans="1:9" s="236" customFormat="1" ht="30.6" x14ac:dyDescent="0.2">
      <c r="A106" s="244" t="s">
        <v>297</v>
      </c>
      <c r="B106" s="265" t="s">
        <v>561</v>
      </c>
      <c r="C106" s="234" t="s">
        <v>402</v>
      </c>
      <c r="D106" s="241">
        <v>4200</v>
      </c>
      <c r="E106" s="241">
        <v>1989.08</v>
      </c>
      <c r="F106" s="241">
        <v>2000</v>
      </c>
      <c r="G106" s="241"/>
      <c r="H106" s="241"/>
      <c r="I106" s="345">
        <f t="shared" ref="I106:I107" si="47">+D106+E106+F106+G106+H106</f>
        <v>8189.08</v>
      </c>
    </row>
    <row r="107" spans="1:9" s="236" customFormat="1" x14ac:dyDescent="0.2">
      <c r="A107" s="244" t="s">
        <v>470</v>
      </c>
      <c r="B107" s="265" t="s">
        <v>471</v>
      </c>
      <c r="C107" s="234"/>
      <c r="D107" s="241">
        <v>1000</v>
      </c>
      <c r="E107" s="241"/>
      <c r="F107" s="241"/>
      <c r="G107" s="241"/>
      <c r="H107" s="241"/>
      <c r="I107" s="345">
        <f t="shared" si="47"/>
        <v>1000</v>
      </c>
    </row>
    <row r="108" spans="1:9" s="236" customFormat="1" x14ac:dyDescent="0.2">
      <c r="A108" s="244"/>
      <c r="B108" s="265"/>
      <c r="C108" s="241"/>
      <c r="D108" s="241"/>
      <c r="E108" s="241"/>
      <c r="F108" s="241"/>
      <c r="G108" s="241"/>
      <c r="H108" s="241"/>
      <c r="I108" s="407"/>
    </row>
    <row r="109" spans="1:9" s="236" customFormat="1" x14ac:dyDescent="0.2">
      <c r="A109" s="240" t="s">
        <v>496</v>
      </c>
      <c r="B109" s="264" t="s">
        <v>497</v>
      </c>
      <c r="C109" s="241"/>
      <c r="D109" s="243">
        <f>D110</f>
        <v>44781.08</v>
      </c>
      <c r="E109" s="243">
        <f t="shared" ref="E109:I109" si="48">E110</f>
        <v>0</v>
      </c>
      <c r="F109" s="243">
        <f t="shared" si="48"/>
        <v>1894.01</v>
      </c>
      <c r="G109" s="243">
        <f t="shared" si="48"/>
        <v>0</v>
      </c>
      <c r="H109" s="243">
        <f t="shared" si="48"/>
        <v>0</v>
      </c>
      <c r="I109" s="344">
        <f t="shared" si="48"/>
        <v>46675.090000000004</v>
      </c>
    </row>
    <row r="110" spans="1:9" s="236" customFormat="1" x14ac:dyDescent="0.2">
      <c r="A110" s="244" t="s">
        <v>600</v>
      </c>
      <c r="B110" s="265" t="s">
        <v>603</v>
      </c>
      <c r="C110" s="241"/>
      <c r="D110" s="424">
        <v>44781.08</v>
      </c>
      <c r="E110" s="424"/>
      <c r="F110" s="424">
        <v>1894.01</v>
      </c>
      <c r="G110" s="424"/>
      <c r="H110" s="241"/>
      <c r="I110" s="345">
        <f>+D110+E110+F110+G110+H110</f>
        <v>46675.090000000004</v>
      </c>
    </row>
    <row r="111" spans="1:9" s="390" customFormat="1" x14ac:dyDescent="0.2">
      <c r="A111" s="388"/>
      <c r="B111" s="389"/>
      <c r="C111" s="255"/>
      <c r="D111" s="241"/>
      <c r="E111" s="241"/>
      <c r="F111" s="241"/>
      <c r="G111" s="241"/>
      <c r="H111" s="255"/>
      <c r="I111" s="408"/>
    </row>
    <row r="112" spans="1:9" s="236" customFormat="1" ht="16.2" customHeight="1" x14ac:dyDescent="0.2">
      <c r="A112" s="355" t="s">
        <v>104</v>
      </c>
      <c r="B112" s="365" t="s">
        <v>374</v>
      </c>
      <c r="C112" s="351"/>
      <c r="D112" s="241"/>
      <c r="E112" s="241"/>
      <c r="F112" s="241"/>
      <c r="G112" s="241"/>
      <c r="H112" s="351"/>
      <c r="I112" s="366"/>
    </row>
    <row r="113" spans="1:10" s="236" customFormat="1" ht="27.6" customHeight="1" x14ac:dyDescent="0.2">
      <c r="A113" s="355" t="s">
        <v>289</v>
      </c>
      <c r="B113" s="365" t="s">
        <v>474</v>
      </c>
      <c r="C113" s="351"/>
      <c r="D113" s="242">
        <f>+D114</f>
        <v>21235.815999999999</v>
      </c>
      <c r="E113" s="242">
        <f t="shared" ref="E113:I113" si="49">+E114</f>
        <v>0</v>
      </c>
      <c r="F113" s="242">
        <f t="shared" si="49"/>
        <v>165.32999999999998</v>
      </c>
      <c r="G113" s="242">
        <f t="shared" si="49"/>
        <v>0</v>
      </c>
      <c r="H113" s="387">
        <f t="shared" si="49"/>
        <v>0</v>
      </c>
      <c r="I113" s="366">
        <f t="shared" si="49"/>
        <v>21401.146000000001</v>
      </c>
    </row>
    <row r="114" spans="1:10" s="236" customFormat="1" ht="12.75" customHeight="1" x14ac:dyDescent="0.35">
      <c r="A114" s="298" t="s">
        <v>310</v>
      </c>
      <c r="B114" s="299" t="s">
        <v>414</v>
      </c>
      <c r="C114" s="300"/>
      <c r="D114" s="425">
        <f>+D129+D115</f>
        <v>21235.815999999999</v>
      </c>
      <c r="E114" s="425">
        <f t="shared" ref="E114:I114" si="50">+E129+E115</f>
        <v>0</v>
      </c>
      <c r="F114" s="425">
        <f t="shared" si="50"/>
        <v>165.32999999999998</v>
      </c>
      <c r="G114" s="425">
        <f t="shared" si="50"/>
        <v>0</v>
      </c>
      <c r="H114" s="301">
        <f t="shared" si="50"/>
        <v>0</v>
      </c>
      <c r="I114" s="409">
        <f t="shared" si="50"/>
        <v>21401.146000000001</v>
      </c>
    </row>
    <row r="115" spans="1:10" s="236" customFormat="1" x14ac:dyDescent="0.2">
      <c r="A115" s="281" t="s">
        <v>89</v>
      </c>
      <c r="B115" s="271" t="s">
        <v>452</v>
      </c>
      <c r="C115" s="241"/>
      <c r="D115" s="242">
        <f>D120+D116+D124</f>
        <v>13435.815999999999</v>
      </c>
      <c r="E115" s="242">
        <f t="shared" ref="E115:I115" si="51">E120+E116+E124</f>
        <v>0</v>
      </c>
      <c r="F115" s="242">
        <f t="shared" si="51"/>
        <v>45.33</v>
      </c>
      <c r="G115" s="242">
        <f t="shared" si="51"/>
        <v>0</v>
      </c>
      <c r="H115" s="242">
        <f t="shared" si="51"/>
        <v>0</v>
      </c>
      <c r="I115" s="396">
        <f t="shared" si="51"/>
        <v>13481.146000000001</v>
      </c>
      <c r="J115" s="236" t="e">
        <f>+D114-#REF!</f>
        <v>#REF!</v>
      </c>
    </row>
    <row r="116" spans="1:10" s="236" customFormat="1" ht="24.75" customHeight="1" x14ac:dyDescent="0.2">
      <c r="A116" s="240" t="s">
        <v>92</v>
      </c>
      <c r="B116" s="272" t="s">
        <v>463</v>
      </c>
      <c r="C116" s="243"/>
      <c r="D116" s="243">
        <f>D117+D118</f>
        <v>1222</v>
      </c>
      <c r="E116" s="243">
        <f t="shared" ref="E116:I116" si="52">E117+E118</f>
        <v>0</v>
      </c>
      <c r="F116" s="243">
        <f t="shared" si="52"/>
        <v>45</v>
      </c>
      <c r="G116" s="243">
        <f t="shared" si="52"/>
        <v>0</v>
      </c>
      <c r="H116" s="243">
        <f t="shared" si="52"/>
        <v>0</v>
      </c>
      <c r="I116" s="344">
        <f t="shared" si="52"/>
        <v>1267</v>
      </c>
    </row>
    <row r="117" spans="1:10" s="236" customFormat="1" x14ac:dyDescent="0.2">
      <c r="A117" s="244" t="s">
        <v>93</v>
      </c>
      <c r="B117" s="273" t="s">
        <v>464</v>
      </c>
      <c r="C117" s="241"/>
      <c r="D117" s="241">
        <f>+DISTRIBUTIVO!D31</f>
        <v>817</v>
      </c>
      <c r="E117" s="241">
        <v>0</v>
      </c>
      <c r="F117" s="241"/>
      <c r="G117" s="241"/>
      <c r="H117" s="241"/>
      <c r="I117" s="345">
        <f t="shared" ref="I117:I118" si="53">+D117+E117+F117+G117+H117</f>
        <v>817</v>
      </c>
    </row>
    <row r="118" spans="1:10" s="236" customFormat="1" x14ac:dyDescent="0.2">
      <c r="A118" s="244" t="s">
        <v>94</v>
      </c>
      <c r="B118" s="273" t="s">
        <v>465</v>
      </c>
      <c r="C118" s="241"/>
      <c r="D118" s="241">
        <v>405</v>
      </c>
      <c r="E118" s="241"/>
      <c r="F118" s="241">
        <v>45</v>
      </c>
      <c r="G118" s="241"/>
      <c r="H118" s="241"/>
      <c r="I118" s="345">
        <f t="shared" si="53"/>
        <v>450</v>
      </c>
    </row>
    <row r="119" spans="1:10" s="236" customFormat="1" x14ac:dyDescent="0.2">
      <c r="A119" s="244"/>
      <c r="B119" s="273"/>
      <c r="C119" s="241"/>
      <c r="D119" s="241"/>
      <c r="E119" s="241"/>
      <c r="F119" s="241"/>
      <c r="G119" s="241"/>
      <c r="H119" s="241"/>
      <c r="I119" s="345"/>
    </row>
    <row r="120" spans="1:10" s="236" customFormat="1" x14ac:dyDescent="0.2">
      <c r="A120" s="240" t="s">
        <v>95</v>
      </c>
      <c r="B120" s="272" t="s">
        <v>270</v>
      </c>
      <c r="C120" s="243"/>
      <c r="D120" s="340">
        <f>SUM(D121:D122)</f>
        <v>10304</v>
      </c>
      <c r="E120" s="340">
        <f t="shared" ref="E120:I120" si="54">SUM(E121:E122)</f>
        <v>0</v>
      </c>
      <c r="F120" s="340">
        <f t="shared" si="54"/>
        <v>0</v>
      </c>
      <c r="G120" s="340">
        <f t="shared" si="54"/>
        <v>0</v>
      </c>
      <c r="H120" s="340">
        <f t="shared" si="54"/>
        <v>0</v>
      </c>
      <c r="I120" s="398">
        <f t="shared" si="54"/>
        <v>10304</v>
      </c>
    </row>
    <row r="121" spans="1:10" s="236" customFormat="1" x14ac:dyDescent="0.2">
      <c r="A121" s="244" t="s">
        <v>91</v>
      </c>
      <c r="B121" s="273" t="s">
        <v>462</v>
      </c>
      <c r="C121" s="241"/>
      <c r="D121" s="241">
        <f>+DISTRIBUTIVO!E32</f>
        <v>9804</v>
      </c>
      <c r="E121" s="241">
        <v>0</v>
      </c>
      <c r="F121" s="241"/>
      <c r="G121" s="241"/>
      <c r="H121" s="241"/>
      <c r="I121" s="345">
        <f t="shared" ref="I121:I122" si="55">+D121+E121+F121+G121+H121</f>
        <v>9804</v>
      </c>
    </row>
    <row r="122" spans="1:10" s="236" customFormat="1" x14ac:dyDescent="0.2">
      <c r="A122" s="244" t="s">
        <v>451</v>
      </c>
      <c r="B122" s="273" t="s">
        <v>480</v>
      </c>
      <c r="C122" s="241" t="s">
        <v>402</v>
      </c>
      <c r="D122" s="241">
        <v>500</v>
      </c>
      <c r="E122" s="241"/>
      <c r="F122" s="241"/>
      <c r="G122" s="241"/>
      <c r="H122" s="241"/>
      <c r="I122" s="345">
        <f t="shared" si="55"/>
        <v>500</v>
      </c>
    </row>
    <row r="123" spans="1:10" s="236" customFormat="1" x14ac:dyDescent="0.2">
      <c r="A123" s="244"/>
      <c r="B123" s="273"/>
      <c r="C123" s="241"/>
      <c r="D123" s="241"/>
      <c r="E123" s="241"/>
      <c r="F123" s="241"/>
      <c r="G123" s="241"/>
      <c r="H123" s="241"/>
      <c r="I123" s="345"/>
    </row>
    <row r="124" spans="1:10" s="236" customFormat="1" x14ac:dyDescent="0.2">
      <c r="A124" s="240" t="s">
        <v>96</v>
      </c>
      <c r="B124" s="272" t="s">
        <v>466</v>
      </c>
      <c r="C124" s="243"/>
      <c r="D124" s="243">
        <f>D125+D126</f>
        <v>1909.8159999999998</v>
      </c>
      <c r="E124" s="243">
        <f t="shared" ref="E124:I124" si="56">E125+E126</f>
        <v>0</v>
      </c>
      <c r="F124" s="243">
        <f t="shared" si="56"/>
        <v>0.33</v>
      </c>
      <c r="G124" s="243">
        <f t="shared" si="56"/>
        <v>0</v>
      </c>
      <c r="H124" s="243">
        <f t="shared" si="56"/>
        <v>0</v>
      </c>
      <c r="I124" s="344">
        <f t="shared" si="56"/>
        <v>1910.146</v>
      </c>
    </row>
    <row r="125" spans="1:10" s="236" customFormat="1" x14ac:dyDescent="0.2">
      <c r="A125" s="244" t="s">
        <v>97</v>
      </c>
      <c r="B125" s="273" t="s">
        <v>467</v>
      </c>
      <c r="C125" s="241"/>
      <c r="D125" s="241">
        <f>+DISTRIBUTIVO!I32</f>
        <v>1093.146</v>
      </c>
      <c r="E125" s="241"/>
      <c r="F125" s="241"/>
      <c r="G125" s="241"/>
      <c r="H125" s="241"/>
      <c r="I125" s="345">
        <f t="shared" ref="I125:I126" si="57">+D125+E125+F125+G125+H125</f>
        <v>1093.146</v>
      </c>
    </row>
    <row r="126" spans="1:10" s="236" customFormat="1" x14ac:dyDescent="0.2">
      <c r="A126" s="244" t="s">
        <v>98</v>
      </c>
      <c r="B126" s="273" t="s">
        <v>468</v>
      </c>
      <c r="C126" s="241"/>
      <c r="D126" s="241">
        <v>816.67</v>
      </c>
      <c r="E126" s="241"/>
      <c r="F126" s="241">
        <v>0.33</v>
      </c>
      <c r="G126" s="241"/>
      <c r="H126" s="241"/>
      <c r="I126" s="345">
        <f t="shared" si="57"/>
        <v>817</v>
      </c>
    </row>
    <row r="127" spans="1:10" s="236" customFormat="1" x14ac:dyDescent="0.2">
      <c r="A127" s="244"/>
      <c r="B127" s="273"/>
      <c r="C127" s="241"/>
      <c r="D127" s="241"/>
      <c r="E127" s="241"/>
      <c r="F127" s="241"/>
      <c r="G127" s="241"/>
      <c r="H127" s="241"/>
      <c r="I127" s="344"/>
    </row>
    <row r="128" spans="1:10" s="236" customFormat="1" ht="10.8" customHeight="1" x14ac:dyDescent="0.2">
      <c r="A128" s="244"/>
      <c r="B128" s="273"/>
      <c r="C128" s="241"/>
      <c r="D128" s="241"/>
      <c r="E128" s="241"/>
      <c r="F128" s="241"/>
      <c r="G128" s="241"/>
      <c r="H128" s="241"/>
      <c r="I128" s="344"/>
    </row>
    <row r="129" spans="1:9" s="236" customFormat="1" x14ac:dyDescent="0.2">
      <c r="A129" s="240" t="s">
        <v>99</v>
      </c>
      <c r="B129" s="264" t="s">
        <v>349</v>
      </c>
      <c r="C129" s="241"/>
      <c r="D129" s="243">
        <f>D130+D133+D136</f>
        <v>7800</v>
      </c>
      <c r="E129" s="243">
        <f t="shared" ref="E129:I129" si="58">E130+E133+E136</f>
        <v>0</v>
      </c>
      <c r="F129" s="243">
        <f t="shared" si="58"/>
        <v>120</v>
      </c>
      <c r="G129" s="243">
        <f t="shared" si="58"/>
        <v>0</v>
      </c>
      <c r="H129" s="243">
        <f t="shared" si="58"/>
        <v>0</v>
      </c>
      <c r="I129" s="344">
        <f t="shared" si="58"/>
        <v>7920</v>
      </c>
    </row>
    <row r="130" spans="1:9" s="236" customFormat="1" x14ac:dyDescent="0.2">
      <c r="A130" s="240" t="s">
        <v>100</v>
      </c>
      <c r="B130" s="264" t="s">
        <v>72</v>
      </c>
      <c r="C130" s="243"/>
      <c r="D130" s="243">
        <f>D131</f>
        <v>1000</v>
      </c>
      <c r="E130" s="243">
        <f t="shared" ref="E130:I130" si="59">E131</f>
        <v>0</v>
      </c>
      <c r="F130" s="243">
        <f t="shared" si="59"/>
        <v>1000</v>
      </c>
      <c r="G130" s="243">
        <f t="shared" si="59"/>
        <v>0</v>
      </c>
      <c r="H130" s="243">
        <f t="shared" si="59"/>
        <v>0</v>
      </c>
      <c r="I130" s="344">
        <f t="shared" si="59"/>
        <v>2000</v>
      </c>
    </row>
    <row r="131" spans="1:9" s="236" customFormat="1" x14ac:dyDescent="0.2">
      <c r="A131" s="244" t="s">
        <v>481</v>
      </c>
      <c r="B131" s="265" t="s">
        <v>482</v>
      </c>
      <c r="C131" s="241" t="s">
        <v>412</v>
      </c>
      <c r="D131" s="241">
        <v>1000</v>
      </c>
      <c r="E131" s="241"/>
      <c r="F131" s="241">
        <v>1000</v>
      </c>
      <c r="G131" s="241"/>
      <c r="H131" s="241"/>
      <c r="I131" s="345">
        <f>+D131+E131+F131+G131+H131</f>
        <v>2000</v>
      </c>
    </row>
    <row r="132" spans="1:9" s="236" customFormat="1" x14ac:dyDescent="0.2">
      <c r="A132" s="244"/>
      <c r="B132" s="265"/>
      <c r="C132" s="243"/>
      <c r="D132" s="241"/>
      <c r="E132" s="241"/>
      <c r="F132" s="241"/>
      <c r="G132" s="241"/>
      <c r="H132" s="241"/>
      <c r="I132" s="344"/>
    </row>
    <row r="133" spans="1:9" s="236" customFormat="1" ht="20.399999999999999" x14ac:dyDescent="0.2">
      <c r="A133" s="240" t="s">
        <v>102</v>
      </c>
      <c r="B133" s="264" t="s">
        <v>350</v>
      </c>
      <c r="C133" s="241"/>
      <c r="D133" s="243">
        <f>+D134</f>
        <v>1000</v>
      </c>
      <c r="E133" s="243">
        <f t="shared" ref="E133:I133" si="60">+E134</f>
        <v>0</v>
      </c>
      <c r="F133" s="243">
        <f t="shared" si="60"/>
        <v>-1000</v>
      </c>
      <c r="G133" s="243">
        <f t="shared" si="60"/>
        <v>0</v>
      </c>
      <c r="H133" s="243">
        <f t="shared" si="60"/>
        <v>0</v>
      </c>
      <c r="I133" s="344">
        <f t="shared" si="60"/>
        <v>0</v>
      </c>
    </row>
    <row r="134" spans="1:9" s="236" customFormat="1" x14ac:dyDescent="0.2">
      <c r="A134" s="244" t="s">
        <v>483</v>
      </c>
      <c r="B134" s="265" t="s">
        <v>484</v>
      </c>
      <c r="C134" s="241" t="s">
        <v>408</v>
      </c>
      <c r="D134" s="241">
        <v>1000</v>
      </c>
      <c r="E134" s="241"/>
      <c r="F134" s="241">
        <v>-1000</v>
      </c>
      <c r="G134" s="241"/>
      <c r="H134" s="241"/>
      <c r="I134" s="345">
        <f>+D134+E134+F134+G134+H134</f>
        <v>0</v>
      </c>
    </row>
    <row r="135" spans="1:9" s="236" customFormat="1" ht="13.5" customHeight="1" x14ac:dyDescent="0.2">
      <c r="B135" s="270"/>
      <c r="C135" s="243"/>
      <c r="D135" s="241"/>
      <c r="E135" s="241"/>
      <c r="F135" s="241"/>
      <c r="G135" s="241"/>
      <c r="H135" s="241"/>
      <c r="I135" s="344"/>
    </row>
    <row r="136" spans="1:9" s="236" customFormat="1" ht="13.5" customHeight="1" x14ac:dyDescent="0.2">
      <c r="A136" s="240" t="s">
        <v>103</v>
      </c>
      <c r="B136" s="264" t="s">
        <v>276</v>
      </c>
      <c r="C136" s="235"/>
      <c r="D136" s="243">
        <f>SUM(D137:D140)</f>
        <v>5800</v>
      </c>
      <c r="E136" s="243">
        <f t="shared" ref="E136:I136" si="61">SUM(E137:E140)</f>
        <v>0</v>
      </c>
      <c r="F136" s="243">
        <f t="shared" si="61"/>
        <v>120</v>
      </c>
      <c r="G136" s="243">
        <f t="shared" si="61"/>
        <v>0</v>
      </c>
      <c r="H136" s="243">
        <f t="shared" si="61"/>
        <v>0</v>
      </c>
      <c r="I136" s="344">
        <f t="shared" si="61"/>
        <v>5920</v>
      </c>
    </row>
    <row r="137" spans="1:9" s="236" customFormat="1" ht="11.25" customHeight="1" x14ac:dyDescent="0.2">
      <c r="A137" s="244" t="s">
        <v>117</v>
      </c>
      <c r="B137" s="265" t="s">
        <v>118</v>
      </c>
      <c r="C137" s="241" t="s">
        <v>408</v>
      </c>
      <c r="D137" s="241">
        <v>5000</v>
      </c>
      <c r="E137" s="241"/>
      <c r="F137" s="241"/>
      <c r="G137" s="241"/>
      <c r="H137" s="241"/>
      <c r="I137" s="345">
        <f>+D137+E137+F137+G137+H137</f>
        <v>5000</v>
      </c>
    </row>
    <row r="138" spans="1:9" s="236" customFormat="1" ht="20.399999999999999" x14ac:dyDescent="0.2">
      <c r="A138" s="244" t="s">
        <v>274</v>
      </c>
      <c r="B138" s="265" t="s">
        <v>372</v>
      </c>
      <c r="C138" s="241" t="s">
        <v>408</v>
      </c>
      <c r="D138" s="241">
        <v>500</v>
      </c>
      <c r="E138" s="241"/>
      <c r="F138" s="241">
        <v>-30</v>
      </c>
      <c r="G138" s="241"/>
      <c r="H138" s="241"/>
      <c r="I138" s="345">
        <f t="shared" ref="I138:I140" si="62">+D138+E138+F138+G138+H138</f>
        <v>470</v>
      </c>
    </row>
    <row r="139" spans="1:9" s="236" customFormat="1" ht="11.25" customHeight="1" x14ac:dyDescent="0.2">
      <c r="A139" s="253" t="s">
        <v>175</v>
      </c>
      <c r="B139" s="269" t="s">
        <v>312</v>
      </c>
      <c r="C139" s="251" t="s">
        <v>408</v>
      </c>
      <c r="D139" s="241">
        <v>200</v>
      </c>
      <c r="E139" s="241"/>
      <c r="F139" s="241">
        <v>150</v>
      </c>
      <c r="G139" s="241"/>
      <c r="H139" s="241"/>
      <c r="I139" s="345">
        <f t="shared" si="62"/>
        <v>350</v>
      </c>
    </row>
    <row r="140" spans="1:9" s="236" customFormat="1" ht="11.25" customHeight="1" x14ac:dyDescent="0.2">
      <c r="A140" s="244" t="s">
        <v>485</v>
      </c>
      <c r="B140" s="265" t="s">
        <v>486</v>
      </c>
      <c r="C140" s="251"/>
      <c r="D140" s="241">
        <v>100</v>
      </c>
      <c r="E140" s="241"/>
      <c r="F140" s="241"/>
      <c r="G140" s="241"/>
      <c r="H140" s="241"/>
      <c r="I140" s="345">
        <f t="shared" si="62"/>
        <v>100</v>
      </c>
    </row>
    <row r="141" spans="1:9" s="236" customFormat="1" ht="20.399999999999999" x14ac:dyDescent="0.2">
      <c r="A141" s="360" t="s">
        <v>289</v>
      </c>
      <c r="B141" s="361" t="s">
        <v>563</v>
      </c>
      <c r="C141" s="362"/>
      <c r="D141" s="239">
        <f>+D142+D160</f>
        <v>8529.7200000000012</v>
      </c>
      <c r="E141" s="239">
        <f t="shared" ref="E141:H141" si="63">+E142+E160</f>
        <v>-44.64</v>
      </c>
      <c r="F141" s="239">
        <f>+F142+F160</f>
        <v>1619.92</v>
      </c>
      <c r="G141" s="239">
        <f t="shared" si="63"/>
        <v>0</v>
      </c>
      <c r="H141" s="363">
        <f t="shared" si="63"/>
        <v>0</v>
      </c>
      <c r="I141" s="378">
        <f>+I142+I160</f>
        <v>9545.380000000001</v>
      </c>
    </row>
    <row r="142" spans="1:9" s="236" customFormat="1" ht="12" x14ac:dyDescent="0.35">
      <c r="A142" s="298" t="s">
        <v>310</v>
      </c>
      <c r="B142" s="299" t="s">
        <v>414</v>
      </c>
      <c r="C142" s="276"/>
      <c r="D142" s="425">
        <f>+D147+D143</f>
        <v>7590.02</v>
      </c>
      <c r="E142" s="425">
        <f t="shared" ref="E142:H142" si="64">+E147+E143+E162</f>
        <v>-44.64</v>
      </c>
      <c r="F142" s="425">
        <f>+F147+F143+F154+F151</f>
        <v>1119.24</v>
      </c>
      <c r="G142" s="425">
        <f t="shared" si="64"/>
        <v>0</v>
      </c>
      <c r="H142" s="301">
        <f t="shared" si="64"/>
        <v>0</v>
      </c>
      <c r="I142" s="409">
        <f>+I147+I143</f>
        <v>8105</v>
      </c>
    </row>
    <row r="143" spans="1:9" s="236" customFormat="1" x14ac:dyDescent="0.2">
      <c r="A143" s="281" t="s">
        <v>89</v>
      </c>
      <c r="B143" s="271" t="s">
        <v>452</v>
      </c>
      <c r="C143" s="241"/>
      <c r="D143" s="243">
        <f>D144</f>
        <v>336</v>
      </c>
      <c r="E143" s="243">
        <f t="shared" ref="E143:I143" si="65">E144</f>
        <v>0</v>
      </c>
      <c r="F143" s="243">
        <f t="shared" si="65"/>
        <v>0</v>
      </c>
      <c r="G143" s="243">
        <f t="shared" si="65"/>
        <v>0</v>
      </c>
      <c r="H143" s="243">
        <f t="shared" si="65"/>
        <v>0</v>
      </c>
      <c r="I143" s="344">
        <f t="shared" si="65"/>
        <v>336</v>
      </c>
    </row>
    <row r="144" spans="1:9" s="236" customFormat="1" x14ac:dyDescent="0.2">
      <c r="A144" s="240" t="s">
        <v>95</v>
      </c>
      <c r="B144" s="272" t="s">
        <v>270</v>
      </c>
      <c r="C144" s="243"/>
      <c r="D144" s="243">
        <f>SUM(D145:D145)</f>
        <v>336</v>
      </c>
      <c r="E144" s="243">
        <f t="shared" ref="E144:I144" si="66">SUM(E145:E145)</f>
        <v>0</v>
      </c>
      <c r="F144" s="243">
        <f t="shared" si="66"/>
        <v>0</v>
      </c>
      <c r="G144" s="243">
        <f t="shared" si="66"/>
        <v>0</v>
      </c>
      <c r="H144" s="243">
        <f t="shared" si="66"/>
        <v>0</v>
      </c>
      <c r="I144" s="344">
        <f t="shared" si="66"/>
        <v>336</v>
      </c>
    </row>
    <row r="145" spans="1:9" s="236" customFormat="1" x14ac:dyDescent="0.2">
      <c r="A145" s="244" t="s">
        <v>451</v>
      </c>
      <c r="B145" s="273" t="s">
        <v>480</v>
      </c>
      <c r="C145" s="241" t="s">
        <v>402</v>
      </c>
      <c r="D145" s="241">
        <v>336</v>
      </c>
      <c r="E145" s="241"/>
      <c r="F145" s="241"/>
      <c r="G145" s="241"/>
      <c r="H145" s="241"/>
      <c r="I145" s="345">
        <f>+D145+E145+F145+G145+H145</f>
        <v>336</v>
      </c>
    </row>
    <row r="146" spans="1:9" s="236" customFormat="1" x14ac:dyDescent="0.2">
      <c r="A146" s="245"/>
      <c r="B146" s="266"/>
      <c r="C146" s="241"/>
      <c r="D146" s="243"/>
      <c r="E146" s="243"/>
      <c r="F146" s="243"/>
      <c r="G146" s="243"/>
      <c r="H146" s="241"/>
      <c r="I146" s="410"/>
    </row>
    <row r="147" spans="1:9" s="236" customFormat="1" x14ac:dyDescent="0.2">
      <c r="A147" s="240" t="s">
        <v>99</v>
      </c>
      <c r="B147" s="264" t="s">
        <v>349</v>
      </c>
      <c r="C147" s="243"/>
      <c r="D147" s="243">
        <f>+D148+D151+D154</f>
        <v>7254.02</v>
      </c>
      <c r="E147" s="243">
        <f t="shared" ref="E147:H147" si="67">+E148+E151+E154+E162</f>
        <v>-44.64</v>
      </c>
      <c r="F147" s="243">
        <f>+F148+F151+F154</f>
        <v>559.62</v>
      </c>
      <c r="G147" s="243">
        <f t="shared" si="67"/>
        <v>0</v>
      </c>
      <c r="H147" s="243">
        <f t="shared" si="67"/>
        <v>0</v>
      </c>
      <c r="I147" s="344">
        <f>+I148+I151+I154</f>
        <v>7769</v>
      </c>
    </row>
    <row r="148" spans="1:9" s="236" customFormat="1" x14ac:dyDescent="0.2">
      <c r="A148" s="240" t="s">
        <v>101</v>
      </c>
      <c r="B148" s="264" t="s">
        <v>578</v>
      </c>
      <c r="C148" s="241"/>
      <c r="D148" s="243">
        <f>+D149</f>
        <v>1000</v>
      </c>
      <c r="E148" s="243">
        <f t="shared" ref="E148:I148" si="68">+E149</f>
        <v>0</v>
      </c>
      <c r="F148" s="243">
        <f t="shared" si="68"/>
        <v>0</v>
      </c>
      <c r="G148" s="243">
        <f t="shared" si="68"/>
        <v>0</v>
      </c>
      <c r="H148" s="243">
        <f t="shared" si="68"/>
        <v>0</v>
      </c>
      <c r="I148" s="344">
        <f t="shared" si="68"/>
        <v>1000</v>
      </c>
    </row>
    <row r="149" spans="1:9" s="236" customFormat="1" x14ac:dyDescent="0.2">
      <c r="A149" s="244" t="s">
        <v>481</v>
      </c>
      <c r="B149" s="265" t="s">
        <v>482</v>
      </c>
      <c r="C149" s="243"/>
      <c r="D149" s="241">
        <v>1000</v>
      </c>
      <c r="E149" s="241"/>
      <c r="F149" s="241"/>
      <c r="G149" s="241"/>
      <c r="H149" s="241"/>
      <c r="I149" s="345">
        <f>+D149+E149+F149+G149+H149</f>
        <v>1000</v>
      </c>
    </row>
    <row r="150" spans="1:9" s="236" customFormat="1" x14ac:dyDescent="0.2">
      <c r="A150" s="244"/>
      <c r="B150" s="264"/>
      <c r="C150" s="241" t="s">
        <v>405</v>
      </c>
      <c r="D150" s="241"/>
      <c r="E150" s="241"/>
      <c r="F150" s="241"/>
      <c r="G150" s="241"/>
      <c r="H150" s="241">
        <f t="shared" ref="H150:H198" si="69">+D150</f>
        <v>0</v>
      </c>
      <c r="I150" s="396"/>
    </row>
    <row r="151" spans="1:9" s="236" customFormat="1" ht="20.399999999999999" x14ac:dyDescent="0.2">
      <c r="A151" s="240" t="s">
        <v>102</v>
      </c>
      <c r="B151" s="264" t="s">
        <v>350</v>
      </c>
      <c r="C151" s="241"/>
      <c r="D151" s="243">
        <f>+D152</f>
        <v>3954.02</v>
      </c>
      <c r="E151" s="243">
        <f t="shared" ref="E151:H151" si="70">+E152</f>
        <v>-44.64</v>
      </c>
      <c r="F151" s="243">
        <f>+F152</f>
        <v>359.62</v>
      </c>
      <c r="G151" s="243">
        <f t="shared" si="70"/>
        <v>0</v>
      </c>
      <c r="H151" s="243">
        <f t="shared" si="70"/>
        <v>0</v>
      </c>
      <c r="I151" s="344">
        <f>+I152</f>
        <v>4269</v>
      </c>
    </row>
    <row r="152" spans="1:9" s="236" customFormat="1" ht="21.6" customHeight="1" x14ac:dyDescent="0.2">
      <c r="A152" s="244" t="s">
        <v>483</v>
      </c>
      <c r="B152" s="265" t="s">
        <v>564</v>
      </c>
      <c r="C152" s="241" t="s">
        <v>406</v>
      </c>
      <c r="D152" s="241">
        <v>3954.02</v>
      </c>
      <c r="E152" s="241">
        <v>-44.64</v>
      </c>
      <c r="F152" s="241">
        <v>359.62</v>
      </c>
      <c r="G152" s="241"/>
      <c r="H152" s="241"/>
      <c r="I152" s="345">
        <f>+D152+E152+F152+G152+H152</f>
        <v>4269</v>
      </c>
    </row>
    <row r="153" spans="1:9" s="236" customFormat="1" x14ac:dyDescent="0.2">
      <c r="B153" s="270"/>
      <c r="C153" s="241"/>
      <c r="D153" s="241"/>
      <c r="E153" s="241"/>
      <c r="F153" s="241"/>
      <c r="G153" s="241"/>
      <c r="H153" s="241">
        <f t="shared" si="69"/>
        <v>0</v>
      </c>
      <c r="I153" s="396"/>
    </row>
    <row r="154" spans="1:9" s="236" customFormat="1" x14ac:dyDescent="0.2">
      <c r="A154" s="240" t="s">
        <v>103</v>
      </c>
      <c r="B154" s="264" t="s">
        <v>276</v>
      </c>
      <c r="C154" s="241"/>
      <c r="D154" s="243">
        <f>SUM(D155:D158)</f>
        <v>2300</v>
      </c>
      <c r="E154" s="243">
        <f t="shared" ref="E154:H154" si="71">SUM(E155:E158)</f>
        <v>0</v>
      </c>
      <c r="F154" s="243">
        <f>SUM(F155:F158)</f>
        <v>200</v>
      </c>
      <c r="G154" s="243">
        <f t="shared" si="71"/>
        <v>0</v>
      </c>
      <c r="H154" s="243">
        <f t="shared" si="71"/>
        <v>0</v>
      </c>
      <c r="I154" s="344">
        <f>SUM(I155:I158)</f>
        <v>2500</v>
      </c>
    </row>
    <row r="155" spans="1:9" s="236" customFormat="1" x14ac:dyDescent="0.2">
      <c r="A155" s="244" t="s">
        <v>117</v>
      </c>
      <c r="B155" s="265" t="s">
        <v>118</v>
      </c>
      <c r="C155" s="241" t="s">
        <v>407</v>
      </c>
      <c r="D155" s="241"/>
      <c r="E155" s="241"/>
      <c r="F155" s="241">
        <v>1000</v>
      </c>
      <c r="G155" s="241"/>
      <c r="H155" s="241"/>
      <c r="I155" s="345">
        <f>+D155+E155+F155+G155+H155</f>
        <v>1000</v>
      </c>
    </row>
    <row r="156" spans="1:9" s="236" customFormat="1" ht="20.399999999999999" x14ac:dyDescent="0.2">
      <c r="A156" s="244" t="s">
        <v>274</v>
      </c>
      <c r="B156" s="265" t="s">
        <v>372</v>
      </c>
      <c r="C156" s="241" t="s">
        <v>404</v>
      </c>
      <c r="D156" s="241">
        <v>1000</v>
      </c>
      <c r="E156" s="241"/>
      <c r="F156" s="241"/>
      <c r="G156" s="241"/>
      <c r="H156" s="241"/>
      <c r="I156" s="345">
        <f t="shared" ref="I156:I158" si="72">+D156+E156+F156+G156+H156</f>
        <v>1000</v>
      </c>
    </row>
    <row r="157" spans="1:9" s="236" customFormat="1" ht="30.6" x14ac:dyDescent="0.2">
      <c r="A157" s="253" t="s">
        <v>297</v>
      </c>
      <c r="B157" s="265" t="s">
        <v>561</v>
      </c>
      <c r="C157" s="241"/>
      <c r="D157" s="251">
        <v>1000</v>
      </c>
      <c r="E157" s="251"/>
      <c r="F157" s="251">
        <v>-1000</v>
      </c>
      <c r="G157" s="251"/>
      <c r="H157" s="241"/>
      <c r="I157" s="345">
        <f t="shared" si="72"/>
        <v>0</v>
      </c>
    </row>
    <row r="158" spans="1:9" s="236" customFormat="1" x14ac:dyDescent="0.2">
      <c r="A158" s="253" t="s">
        <v>175</v>
      </c>
      <c r="B158" s="269" t="s">
        <v>373</v>
      </c>
      <c r="C158" s="235" t="s">
        <v>404</v>
      </c>
      <c r="D158" s="251">
        <v>300</v>
      </c>
      <c r="E158" s="251"/>
      <c r="F158" s="251">
        <v>200</v>
      </c>
      <c r="G158" s="251"/>
      <c r="H158" s="241"/>
      <c r="I158" s="345">
        <f t="shared" si="72"/>
        <v>500</v>
      </c>
    </row>
    <row r="159" spans="1:9" s="236" customFormat="1" x14ac:dyDescent="0.2">
      <c r="A159" s="253"/>
      <c r="B159" s="265"/>
      <c r="C159" s="241"/>
      <c r="D159" s="251"/>
      <c r="E159" s="251"/>
      <c r="F159" s="251"/>
      <c r="G159" s="251"/>
      <c r="H159" s="241">
        <f t="shared" si="69"/>
        <v>0</v>
      </c>
      <c r="I159" s="411"/>
    </row>
    <row r="160" spans="1:9" s="236" customFormat="1" x14ac:dyDescent="0.2">
      <c r="A160" s="383">
        <v>8</v>
      </c>
      <c r="B160" s="264" t="s">
        <v>577</v>
      </c>
      <c r="C160" s="241"/>
      <c r="D160" s="252">
        <f>+D161</f>
        <v>939.7</v>
      </c>
      <c r="E160" s="252">
        <f t="shared" ref="E160:I161" si="73">+E161</f>
        <v>0</v>
      </c>
      <c r="F160" s="252">
        <f t="shared" si="73"/>
        <v>500.68</v>
      </c>
      <c r="G160" s="252">
        <f t="shared" si="73"/>
        <v>0</v>
      </c>
      <c r="H160" s="252">
        <f t="shared" si="73"/>
        <v>0</v>
      </c>
      <c r="I160" s="404">
        <f>+I161</f>
        <v>1440.38</v>
      </c>
    </row>
    <row r="161" spans="1:9" s="236" customFormat="1" x14ac:dyDescent="0.2">
      <c r="A161" s="250" t="s">
        <v>575</v>
      </c>
      <c r="B161" s="264" t="s">
        <v>576</v>
      </c>
      <c r="C161" s="241"/>
      <c r="D161" s="252">
        <f>+D162</f>
        <v>939.7</v>
      </c>
      <c r="E161" s="252">
        <f t="shared" si="73"/>
        <v>0</v>
      </c>
      <c r="F161" s="252">
        <f t="shared" si="73"/>
        <v>500.68</v>
      </c>
      <c r="G161" s="252">
        <f t="shared" si="73"/>
        <v>0</v>
      </c>
      <c r="H161" s="252">
        <f t="shared" si="73"/>
        <v>0</v>
      </c>
      <c r="I161" s="404">
        <f t="shared" si="73"/>
        <v>1440.38</v>
      </c>
    </row>
    <row r="162" spans="1:9" s="236" customFormat="1" x14ac:dyDescent="0.2">
      <c r="A162" s="250" t="s">
        <v>574</v>
      </c>
      <c r="B162" s="264" t="s">
        <v>501</v>
      </c>
      <c r="C162" s="241"/>
      <c r="D162" s="252">
        <f>D163</f>
        <v>939.7</v>
      </c>
      <c r="E162" s="252">
        <f t="shared" ref="E162:I162" si="74">E163</f>
        <v>0</v>
      </c>
      <c r="F162" s="252">
        <f t="shared" si="74"/>
        <v>500.68</v>
      </c>
      <c r="G162" s="252">
        <f t="shared" si="74"/>
        <v>0</v>
      </c>
      <c r="H162" s="252">
        <f t="shared" si="74"/>
        <v>0</v>
      </c>
      <c r="I162" s="404">
        <f t="shared" si="74"/>
        <v>1440.38</v>
      </c>
    </row>
    <row r="163" spans="1:9" s="236" customFormat="1" x14ac:dyDescent="0.2">
      <c r="A163" s="253" t="s">
        <v>499</v>
      </c>
      <c r="B163" s="265" t="s">
        <v>500</v>
      </c>
      <c r="C163" s="241"/>
      <c r="D163" s="251">
        <v>939.7</v>
      </c>
      <c r="E163" s="251"/>
      <c r="F163" s="251">
        <v>500.68</v>
      </c>
      <c r="G163" s="251"/>
      <c r="H163" s="241"/>
      <c r="I163" s="345">
        <f t="shared" ref="I163" si="75">+D163+E163+F163+G163+H163</f>
        <v>1440.38</v>
      </c>
    </row>
    <row r="164" spans="1:9" s="236" customFormat="1" x14ac:dyDescent="0.2">
      <c r="A164" s="244"/>
      <c r="B164" s="265"/>
      <c r="C164" s="241"/>
      <c r="D164" s="241"/>
      <c r="E164" s="241"/>
      <c r="F164" s="241"/>
      <c r="G164" s="241"/>
      <c r="H164" s="241">
        <f t="shared" si="69"/>
        <v>0</v>
      </c>
      <c r="I164" s="399"/>
    </row>
    <row r="165" spans="1:9" s="236" customFormat="1" ht="23.4" customHeight="1" x14ac:dyDescent="0.2">
      <c r="A165" s="371" t="s">
        <v>343</v>
      </c>
      <c r="B165" s="364" t="s">
        <v>476</v>
      </c>
      <c r="C165" s="362"/>
      <c r="D165" s="239">
        <f>+D166</f>
        <v>7227.15</v>
      </c>
      <c r="E165" s="239">
        <f t="shared" ref="E165:H166" si="76">+E166</f>
        <v>-521</v>
      </c>
      <c r="F165" s="239">
        <f t="shared" si="76"/>
        <v>8777.6200000000008</v>
      </c>
      <c r="G165" s="239">
        <f t="shared" si="76"/>
        <v>0</v>
      </c>
      <c r="H165" s="363">
        <f t="shared" si="76"/>
        <v>0</v>
      </c>
      <c r="I165" s="378">
        <f>+I166</f>
        <v>15483.77</v>
      </c>
    </row>
    <row r="166" spans="1:9" s="236" customFormat="1" x14ac:dyDescent="0.2">
      <c r="A166" s="245" t="s">
        <v>310</v>
      </c>
      <c r="B166" s="266" t="s">
        <v>414</v>
      </c>
      <c r="C166" s="255"/>
      <c r="D166" s="242">
        <f>+D167</f>
        <v>7227.15</v>
      </c>
      <c r="E166" s="242">
        <f t="shared" si="76"/>
        <v>-521</v>
      </c>
      <c r="F166" s="242">
        <f>+F167</f>
        <v>8777.6200000000008</v>
      </c>
      <c r="G166" s="242">
        <f t="shared" si="76"/>
        <v>0</v>
      </c>
      <c r="H166" s="257">
        <f t="shared" si="76"/>
        <v>0</v>
      </c>
      <c r="I166" s="397">
        <f>+I167</f>
        <v>15483.77</v>
      </c>
    </row>
    <row r="167" spans="1:9" s="236" customFormat="1" x14ac:dyDescent="0.2">
      <c r="A167" s="240" t="s">
        <v>99</v>
      </c>
      <c r="B167" s="264" t="s">
        <v>349</v>
      </c>
      <c r="C167" s="241"/>
      <c r="D167" s="243">
        <f>+D168+D174+D177</f>
        <v>7227.15</v>
      </c>
      <c r="E167" s="243">
        <f t="shared" ref="E167:H167" si="77">+E168+E174+E177</f>
        <v>-521</v>
      </c>
      <c r="F167" s="243">
        <f>+F168+F174+F177</f>
        <v>8777.6200000000008</v>
      </c>
      <c r="G167" s="243">
        <f t="shared" si="77"/>
        <v>0</v>
      </c>
      <c r="H167" s="243">
        <f t="shared" si="77"/>
        <v>0</v>
      </c>
      <c r="I167" s="344">
        <f>+I168+I174+I177</f>
        <v>15483.77</v>
      </c>
    </row>
    <row r="168" spans="1:9" s="236" customFormat="1" x14ac:dyDescent="0.2">
      <c r="A168" s="240" t="s">
        <v>100</v>
      </c>
      <c r="B168" s="264" t="s">
        <v>72</v>
      </c>
      <c r="C168" s="243"/>
      <c r="D168" s="243">
        <f>SUM(D169:D171)</f>
        <v>4834.75</v>
      </c>
      <c r="E168" s="243">
        <f t="shared" ref="E168" si="78">SUM(E169:E171)</f>
        <v>0</v>
      </c>
      <c r="F168" s="243">
        <f>SUM(F169:F172)</f>
        <v>9110.02</v>
      </c>
      <c r="G168" s="243">
        <f t="shared" ref="G168:H168" si="79">SUM(G169:G172)</f>
        <v>0</v>
      </c>
      <c r="H168" s="243">
        <f t="shared" si="79"/>
        <v>0</v>
      </c>
      <c r="I168" s="344">
        <f>SUM(I169:I172)</f>
        <v>13944.77</v>
      </c>
    </row>
    <row r="169" spans="1:9" s="236" customFormat="1" ht="13.8" customHeight="1" x14ac:dyDescent="0.2">
      <c r="A169" s="244" t="s">
        <v>315</v>
      </c>
      <c r="B169" s="265" t="s">
        <v>565</v>
      </c>
      <c r="C169" s="241" t="s">
        <v>409</v>
      </c>
      <c r="D169" s="241">
        <v>4246</v>
      </c>
      <c r="E169" s="241"/>
      <c r="F169" s="241">
        <v>8526.5</v>
      </c>
      <c r="G169" s="241"/>
      <c r="H169" s="241"/>
      <c r="I169" s="345">
        <f t="shared" ref="I169:I172" si="80">+D169+E169+F169+G169+H169</f>
        <v>12772.5</v>
      </c>
    </row>
    <row r="170" spans="1:9" s="236" customFormat="1" x14ac:dyDescent="0.2">
      <c r="A170" s="244" t="s">
        <v>487</v>
      </c>
      <c r="B170" s="265" t="s">
        <v>488</v>
      </c>
      <c r="C170" s="241" t="s">
        <v>409</v>
      </c>
      <c r="D170" s="241"/>
      <c r="E170" s="241"/>
      <c r="F170" s="241"/>
      <c r="G170" s="241"/>
      <c r="H170" s="241"/>
      <c r="I170" s="345">
        <f t="shared" si="80"/>
        <v>0</v>
      </c>
    </row>
    <row r="171" spans="1:9" s="236" customFormat="1" x14ac:dyDescent="0.2">
      <c r="A171" s="244" t="s">
        <v>489</v>
      </c>
      <c r="B171" s="265" t="s">
        <v>490</v>
      </c>
      <c r="C171" s="241" t="s">
        <v>409</v>
      </c>
      <c r="D171" s="241">
        <v>588.75</v>
      </c>
      <c r="E171" s="241"/>
      <c r="F171" s="241"/>
      <c r="G171" s="241"/>
      <c r="H171" s="241"/>
      <c r="I171" s="345">
        <f t="shared" si="80"/>
        <v>588.75</v>
      </c>
    </row>
    <row r="172" spans="1:9" s="236" customFormat="1" x14ac:dyDescent="0.2">
      <c r="A172" s="244" t="s">
        <v>580</v>
      </c>
      <c r="B172" s="265" t="s">
        <v>581</v>
      </c>
      <c r="C172" s="241"/>
      <c r="D172" s="241"/>
      <c r="E172" s="241"/>
      <c r="F172" s="241">
        <v>583.52</v>
      </c>
      <c r="G172" s="241"/>
      <c r="H172" s="241"/>
      <c r="I172" s="345">
        <f t="shared" si="80"/>
        <v>583.52</v>
      </c>
    </row>
    <row r="173" spans="1:9" s="236" customFormat="1" x14ac:dyDescent="0.2">
      <c r="A173" s="244"/>
      <c r="B173" s="265"/>
      <c r="C173" s="241"/>
      <c r="D173" s="241"/>
      <c r="E173" s="241"/>
      <c r="F173" s="241"/>
      <c r="G173" s="241"/>
      <c r="H173" s="241">
        <f t="shared" si="69"/>
        <v>0</v>
      </c>
      <c r="I173" s="345"/>
    </row>
    <row r="174" spans="1:9" s="236" customFormat="1" x14ac:dyDescent="0.2">
      <c r="A174" s="240" t="s">
        <v>101</v>
      </c>
      <c r="B174" s="264" t="s">
        <v>334</v>
      </c>
      <c r="C174" s="241"/>
      <c r="D174" s="243">
        <f>+D175</f>
        <v>526.9</v>
      </c>
      <c r="E174" s="243">
        <f t="shared" ref="E174:H174" si="81">+E175</f>
        <v>0</v>
      </c>
      <c r="F174" s="243">
        <f t="shared" si="81"/>
        <v>-526.9</v>
      </c>
      <c r="G174" s="243">
        <f t="shared" si="81"/>
        <v>0</v>
      </c>
      <c r="H174" s="243">
        <f t="shared" si="81"/>
        <v>0</v>
      </c>
      <c r="I174" s="344">
        <f>+I175</f>
        <v>0</v>
      </c>
    </row>
    <row r="175" spans="1:9" s="236" customFormat="1" ht="10.5" customHeight="1" x14ac:dyDescent="0.2">
      <c r="A175" s="244" t="s">
        <v>481</v>
      </c>
      <c r="B175" s="265" t="s">
        <v>482</v>
      </c>
      <c r="C175" s="241" t="s">
        <v>412</v>
      </c>
      <c r="D175" s="241">
        <v>526.9</v>
      </c>
      <c r="E175" s="241"/>
      <c r="F175" s="241">
        <v>-526.9</v>
      </c>
      <c r="G175" s="241"/>
      <c r="H175" s="241"/>
      <c r="I175" s="345">
        <f>+D175+E175+F175+G175+H175</f>
        <v>0</v>
      </c>
    </row>
    <row r="176" spans="1:9" s="236" customFormat="1" ht="11.25" customHeight="1" x14ac:dyDescent="0.2">
      <c r="A176" s="244"/>
      <c r="B176" s="265"/>
      <c r="C176" s="241"/>
      <c r="D176" s="241"/>
      <c r="E176" s="241"/>
      <c r="F176" s="241"/>
      <c r="G176" s="241"/>
      <c r="H176" s="241">
        <f t="shared" si="69"/>
        <v>0</v>
      </c>
      <c r="I176" s="344"/>
    </row>
    <row r="177" spans="1:9" s="236" customFormat="1" x14ac:dyDescent="0.2">
      <c r="A177" s="240" t="s">
        <v>103</v>
      </c>
      <c r="B177" s="264" t="s">
        <v>335</v>
      </c>
      <c r="C177" s="235"/>
      <c r="D177" s="243">
        <f>+D178</f>
        <v>1865.5</v>
      </c>
      <c r="E177" s="243">
        <f t="shared" ref="E177:H177" si="82">+E178</f>
        <v>-521</v>
      </c>
      <c r="F177" s="243">
        <f t="shared" si="82"/>
        <v>194.5</v>
      </c>
      <c r="G177" s="243">
        <f t="shared" si="82"/>
        <v>0</v>
      </c>
      <c r="H177" s="243">
        <f t="shared" si="82"/>
        <v>0</v>
      </c>
      <c r="I177" s="344">
        <f>+I178</f>
        <v>1539</v>
      </c>
    </row>
    <row r="178" spans="1:9" s="236" customFormat="1" x14ac:dyDescent="0.2">
      <c r="A178" s="244" t="s">
        <v>117</v>
      </c>
      <c r="B178" s="265" t="s">
        <v>118</v>
      </c>
      <c r="C178" s="241" t="s">
        <v>409</v>
      </c>
      <c r="D178" s="241">
        <v>1865.5</v>
      </c>
      <c r="E178" s="241">
        <v>-521</v>
      </c>
      <c r="F178" s="241">
        <v>194.5</v>
      </c>
      <c r="G178" s="241"/>
      <c r="H178" s="241"/>
      <c r="I178" s="345">
        <f>+D178+E178+F178+G178+H178</f>
        <v>1539</v>
      </c>
    </row>
    <row r="179" spans="1:9" s="236" customFormat="1" ht="13.8" customHeight="1" x14ac:dyDescent="0.2">
      <c r="A179" s="244"/>
      <c r="B179" s="265"/>
      <c r="C179" s="243"/>
      <c r="D179" s="241"/>
      <c r="E179" s="241"/>
      <c r="F179" s="241"/>
      <c r="G179" s="241"/>
      <c r="H179" s="241">
        <f t="shared" si="69"/>
        <v>0</v>
      </c>
      <c r="I179" s="397"/>
    </row>
    <row r="180" spans="1:9" s="236" customFormat="1" ht="19.8" customHeight="1" x14ac:dyDescent="0.2">
      <c r="A180" s="355" t="s">
        <v>104</v>
      </c>
      <c r="B180" s="365" t="s">
        <v>505</v>
      </c>
      <c r="C180" s="351"/>
      <c r="D180" s="241"/>
      <c r="E180" s="241"/>
      <c r="F180" s="241"/>
      <c r="G180" s="241"/>
      <c r="H180" s="351">
        <f t="shared" si="69"/>
        <v>0</v>
      </c>
      <c r="I180" s="366"/>
    </row>
    <row r="181" spans="1:9" s="236" customFormat="1" ht="34.200000000000003" customHeight="1" x14ac:dyDescent="0.2">
      <c r="A181" s="360" t="s">
        <v>345</v>
      </c>
      <c r="B181" s="367" t="s">
        <v>494</v>
      </c>
      <c r="C181" s="351"/>
      <c r="D181" s="243">
        <f>+D182</f>
        <v>2800</v>
      </c>
      <c r="E181" s="243">
        <f t="shared" ref="E181:I182" si="83">+E182</f>
        <v>0</v>
      </c>
      <c r="F181" s="243">
        <f t="shared" si="83"/>
        <v>-521</v>
      </c>
      <c r="G181" s="243">
        <f t="shared" si="83"/>
        <v>0</v>
      </c>
      <c r="H181" s="368">
        <f t="shared" si="83"/>
        <v>0</v>
      </c>
      <c r="I181" s="402">
        <f t="shared" si="83"/>
        <v>2279</v>
      </c>
    </row>
    <row r="182" spans="1:9" s="236" customFormat="1" ht="19.8" customHeight="1" x14ac:dyDescent="0.35">
      <c r="A182" s="240" t="s">
        <v>310</v>
      </c>
      <c r="B182" s="264" t="s">
        <v>311</v>
      </c>
      <c r="C182" s="241"/>
      <c r="D182" s="302">
        <f>+D183</f>
        <v>2800</v>
      </c>
      <c r="E182" s="302">
        <f t="shared" si="83"/>
        <v>0</v>
      </c>
      <c r="F182" s="302">
        <f t="shared" si="83"/>
        <v>-521</v>
      </c>
      <c r="G182" s="302">
        <f t="shared" si="83"/>
        <v>0</v>
      </c>
      <c r="H182" s="302">
        <f t="shared" si="83"/>
        <v>0</v>
      </c>
      <c r="I182" s="412">
        <f t="shared" si="83"/>
        <v>2279</v>
      </c>
    </row>
    <row r="183" spans="1:9" s="236" customFormat="1" ht="24" customHeight="1" x14ac:dyDescent="0.2">
      <c r="A183" s="240" t="s">
        <v>99</v>
      </c>
      <c r="B183" s="264" t="s">
        <v>349</v>
      </c>
      <c r="C183" s="241" t="s">
        <v>402</v>
      </c>
      <c r="D183" s="243">
        <f t="shared" ref="D183:I183" si="84">+D184+D187+D190+D192</f>
        <v>2800</v>
      </c>
      <c r="E183" s="243">
        <f t="shared" si="84"/>
        <v>0</v>
      </c>
      <c r="F183" s="243">
        <f t="shared" si="84"/>
        <v>-521</v>
      </c>
      <c r="G183" s="243">
        <f t="shared" si="84"/>
        <v>0</v>
      </c>
      <c r="H183" s="243">
        <f t="shared" si="84"/>
        <v>0</v>
      </c>
      <c r="I183" s="344">
        <f t="shared" si="84"/>
        <v>2279</v>
      </c>
    </row>
    <row r="184" spans="1:9" s="246" customFormat="1" ht="10.5" customHeight="1" x14ac:dyDescent="0.2">
      <c r="A184" s="240" t="s">
        <v>100</v>
      </c>
      <c r="B184" s="264" t="s">
        <v>72</v>
      </c>
      <c r="C184" s="241"/>
      <c r="D184" s="243">
        <f>D185</f>
        <v>805</v>
      </c>
      <c r="E184" s="243">
        <f t="shared" ref="E184:I184" si="85">E185</f>
        <v>0</v>
      </c>
      <c r="F184" s="243">
        <f t="shared" si="85"/>
        <v>-285</v>
      </c>
      <c r="G184" s="243">
        <f t="shared" si="85"/>
        <v>0</v>
      </c>
      <c r="H184" s="243">
        <f t="shared" si="85"/>
        <v>0</v>
      </c>
      <c r="I184" s="344">
        <f t="shared" si="85"/>
        <v>520</v>
      </c>
    </row>
    <row r="185" spans="1:9" s="236" customFormat="1" ht="21.75" customHeight="1" x14ac:dyDescent="0.2">
      <c r="A185" s="244" t="s">
        <v>489</v>
      </c>
      <c r="B185" s="265" t="s">
        <v>490</v>
      </c>
      <c r="C185" s="243"/>
      <c r="D185" s="241">
        <v>805</v>
      </c>
      <c r="E185" s="241"/>
      <c r="F185" s="241">
        <v>-285</v>
      </c>
      <c r="G185" s="241"/>
      <c r="H185" s="241"/>
      <c r="I185" s="345">
        <f t="shared" ref="I185" si="86">+D185+E185+F185+G185+H185</f>
        <v>520</v>
      </c>
    </row>
    <row r="186" spans="1:9" s="236" customFormat="1" ht="10.5" hidden="1" customHeight="1" x14ac:dyDescent="0.2">
      <c r="A186" s="244"/>
      <c r="B186" s="265"/>
      <c r="C186" s="248"/>
      <c r="D186" s="241"/>
      <c r="E186" s="241"/>
      <c r="F186" s="241"/>
      <c r="G186" s="241"/>
      <c r="H186" s="241">
        <f t="shared" si="69"/>
        <v>0</v>
      </c>
      <c r="I186" s="344"/>
    </row>
    <row r="187" spans="1:9" s="236" customFormat="1" ht="10.5" customHeight="1" x14ac:dyDescent="0.2">
      <c r="A187" s="240" t="s">
        <v>271</v>
      </c>
      <c r="B187" s="264" t="s">
        <v>491</v>
      </c>
      <c r="C187" s="241"/>
      <c r="D187" s="243">
        <f>D188</f>
        <v>500</v>
      </c>
      <c r="E187" s="243">
        <f t="shared" ref="E187:I187" si="87">E188</f>
        <v>0</v>
      </c>
      <c r="F187" s="243">
        <f t="shared" si="87"/>
        <v>-236</v>
      </c>
      <c r="G187" s="243">
        <f t="shared" si="87"/>
        <v>0</v>
      </c>
      <c r="H187" s="243">
        <f t="shared" si="87"/>
        <v>0</v>
      </c>
      <c r="I187" s="344">
        <f t="shared" si="87"/>
        <v>264</v>
      </c>
    </row>
    <row r="188" spans="1:9" s="236" customFormat="1" ht="14.25" customHeight="1" x14ac:dyDescent="0.2">
      <c r="A188" s="244" t="s">
        <v>493</v>
      </c>
      <c r="B188" s="265" t="s">
        <v>492</v>
      </c>
      <c r="C188" s="241"/>
      <c r="D188" s="241">
        <v>500</v>
      </c>
      <c r="E188" s="241"/>
      <c r="F188" s="241">
        <v>-236</v>
      </c>
      <c r="G188" s="241"/>
      <c r="H188" s="241"/>
      <c r="I188" s="345">
        <f t="shared" ref="I188" si="88">+D188+E188+F188+G188+H188</f>
        <v>264</v>
      </c>
    </row>
    <row r="189" spans="1:9" s="236" customFormat="1" ht="10.5" customHeight="1" x14ac:dyDescent="0.2">
      <c r="A189" s="244"/>
      <c r="B189" s="265"/>
      <c r="C189" s="243"/>
      <c r="D189" s="241"/>
      <c r="E189" s="241"/>
      <c r="F189" s="241"/>
      <c r="G189" s="241"/>
      <c r="H189" s="241">
        <f t="shared" si="69"/>
        <v>0</v>
      </c>
      <c r="I189" s="345"/>
    </row>
    <row r="190" spans="1:9" s="236" customFormat="1" ht="10.5" customHeight="1" x14ac:dyDescent="0.2">
      <c r="A190" s="240" t="s">
        <v>102</v>
      </c>
      <c r="B190" s="264" t="s">
        <v>350</v>
      </c>
      <c r="C190" s="241"/>
      <c r="D190" s="243">
        <f>+D191</f>
        <v>495</v>
      </c>
      <c r="E190" s="243">
        <f t="shared" ref="E190:I190" si="89">+E191</f>
        <v>0</v>
      </c>
      <c r="F190" s="243">
        <f t="shared" si="89"/>
        <v>-495</v>
      </c>
      <c r="G190" s="243">
        <f t="shared" si="89"/>
        <v>0</v>
      </c>
      <c r="H190" s="243">
        <f t="shared" si="89"/>
        <v>0</v>
      </c>
      <c r="I190" s="344">
        <f t="shared" si="89"/>
        <v>0</v>
      </c>
    </row>
    <row r="191" spans="1:9" s="236" customFormat="1" ht="10.5" customHeight="1" x14ac:dyDescent="0.2">
      <c r="A191" s="244" t="s">
        <v>483</v>
      </c>
      <c r="B191" s="265" t="s">
        <v>484</v>
      </c>
      <c r="C191" s="241" t="s">
        <v>408</v>
      </c>
      <c r="D191" s="241">
        <v>495</v>
      </c>
      <c r="E191" s="241"/>
      <c r="F191" s="241">
        <v>-495</v>
      </c>
      <c r="G191" s="241"/>
      <c r="H191" s="241"/>
      <c r="I191" s="399">
        <f t="shared" ref="I191" si="90">+D191+E191+F191+G191+H191</f>
        <v>0</v>
      </c>
    </row>
    <row r="192" spans="1:9" s="236" customFormat="1" ht="10.5" customHeight="1" x14ac:dyDescent="0.2">
      <c r="A192" s="240" t="s">
        <v>103</v>
      </c>
      <c r="B192" s="264" t="s">
        <v>276</v>
      </c>
      <c r="C192" s="241" t="s">
        <v>402</v>
      </c>
      <c r="D192" s="243">
        <f>SUM(D193:D193)</f>
        <v>1000</v>
      </c>
      <c r="E192" s="243">
        <f t="shared" ref="E192:I192" si="91">SUM(E193:E193)</f>
        <v>0</v>
      </c>
      <c r="F192" s="243">
        <f t="shared" si="91"/>
        <v>495</v>
      </c>
      <c r="G192" s="243">
        <f t="shared" si="91"/>
        <v>0</v>
      </c>
      <c r="H192" s="243">
        <f t="shared" si="91"/>
        <v>0</v>
      </c>
      <c r="I192" s="344">
        <f t="shared" si="91"/>
        <v>1495</v>
      </c>
    </row>
    <row r="193" spans="1:9" s="236" customFormat="1" ht="10.5" customHeight="1" x14ac:dyDescent="0.2">
      <c r="A193" s="244" t="s">
        <v>297</v>
      </c>
      <c r="B193" s="265" t="s">
        <v>316</v>
      </c>
      <c r="C193" s="241"/>
      <c r="D193" s="241">
        <v>1000</v>
      </c>
      <c r="E193" s="241"/>
      <c r="F193" s="241">
        <v>495</v>
      </c>
      <c r="G193" s="241"/>
      <c r="H193" s="241"/>
      <c r="I193" s="345">
        <f t="shared" ref="I193" si="92">+D193+E193+F193+G193+H193</f>
        <v>1495</v>
      </c>
    </row>
    <row r="194" spans="1:9" s="236" customFormat="1" ht="10.5" customHeight="1" x14ac:dyDescent="0.2">
      <c r="A194" s="244"/>
      <c r="B194" s="265"/>
      <c r="C194" s="243"/>
      <c r="D194" s="241"/>
      <c r="E194" s="241"/>
      <c r="F194" s="241"/>
      <c r="G194" s="241"/>
      <c r="H194" s="241">
        <f t="shared" si="69"/>
        <v>0</v>
      </c>
      <c r="I194" s="397"/>
    </row>
    <row r="195" spans="1:9" s="236" customFormat="1" ht="10.5" customHeight="1" x14ac:dyDescent="0.2">
      <c r="A195" s="359" t="s">
        <v>104</v>
      </c>
      <c r="B195" s="369" t="s">
        <v>506</v>
      </c>
      <c r="C195" s="370"/>
      <c r="D195" s="426"/>
      <c r="E195" s="426"/>
      <c r="F195" s="426"/>
      <c r="G195" s="426"/>
      <c r="H195" s="351">
        <f t="shared" si="69"/>
        <v>0</v>
      </c>
      <c r="I195" s="377"/>
    </row>
    <row r="196" spans="1:9" s="236" customFormat="1" ht="38.25" customHeight="1" x14ac:dyDescent="0.2">
      <c r="A196" s="360" t="s">
        <v>289</v>
      </c>
      <c r="B196" s="361" t="s">
        <v>566</v>
      </c>
      <c r="C196" s="362"/>
      <c r="D196" s="239">
        <f>+D197</f>
        <v>59479.79</v>
      </c>
      <c r="E196" s="239">
        <f t="shared" ref="E196:I196" si="93">+E197</f>
        <v>0</v>
      </c>
      <c r="F196" s="239">
        <f t="shared" si="93"/>
        <v>-55479.79</v>
      </c>
      <c r="G196" s="239">
        <f t="shared" si="93"/>
        <v>0</v>
      </c>
      <c r="H196" s="363">
        <f t="shared" si="93"/>
        <v>0</v>
      </c>
      <c r="I196" s="378">
        <f t="shared" si="93"/>
        <v>10000</v>
      </c>
    </row>
    <row r="197" spans="1:9" s="236" customFormat="1" x14ac:dyDescent="0.2">
      <c r="A197" s="240" t="s">
        <v>310</v>
      </c>
      <c r="B197" s="264" t="s">
        <v>311</v>
      </c>
      <c r="C197" s="241"/>
      <c r="D197" s="243">
        <f>+D199+D207</f>
        <v>59479.79</v>
      </c>
      <c r="E197" s="243">
        <f t="shared" ref="E197:I197" si="94">+E199+E207</f>
        <v>0</v>
      </c>
      <c r="F197" s="243">
        <f t="shared" si="94"/>
        <v>-55479.79</v>
      </c>
      <c r="G197" s="243">
        <f t="shared" si="94"/>
        <v>0</v>
      </c>
      <c r="H197" s="243">
        <f t="shared" si="94"/>
        <v>0</v>
      </c>
      <c r="I197" s="344">
        <f t="shared" si="94"/>
        <v>10000</v>
      </c>
    </row>
    <row r="198" spans="1:9" s="236" customFormat="1" x14ac:dyDescent="0.2">
      <c r="A198" s="244"/>
      <c r="B198" s="265"/>
      <c r="C198" s="243"/>
      <c r="D198" s="241"/>
      <c r="E198" s="241"/>
      <c r="F198" s="241"/>
      <c r="G198" s="241"/>
      <c r="H198" s="241">
        <f t="shared" si="69"/>
        <v>0</v>
      </c>
      <c r="I198" s="396"/>
    </row>
    <row r="199" spans="1:9" s="236" customFormat="1" x14ac:dyDescent="0.2">
      <c r="A199" s="240" t="s">
        <v>99</v>
      </c>
      <c r="B199" s="264" t="s">
        <v>320</v>
      </c>
      <c r="C199" s="241"/>
      <c r="D199" s="340">
        <f>+D204</f>
        <v>1500</v>
      </c>
      <c r="E199" s="340">
        <f t="shared" ref="E199:H199" si="95">+E204</f>
        <v>0</v>
      </c>
      <c r="F199" s="340">
        <f t="shared" si="95"/>
        <v>2500</v>
      </c>
      <c r="G199" s="340">
        <f t="shared" si="95"/>
        <v>0</v>
      </c>
      <c r="H199" s="340">
        <f t="shared" si="95"/>
        <v>0</v>
      </c>
      <c r="I199" s="398">
        <f>+I204+I201</f>
        <v>10000</v>
      </c>
    </row>
    <row r="200" spans="1:9" s="236" customFormat="1" x14ac:dyDescent="0.2">
      <c r="A200" s="240"/>
      <c r="B200" s="264"/>
      <c r="C200" s="241"/>
      <c r="D200" s="340"/>
      <c r="E200" s="340"/>
      <c r="F200" s="340"/>
      <c r="G200" s="340"/>
      <c r="H200" s="340"/>
      <c r="I200" s="398"/>
    </row>
    <row r="201" spans="1:9" s="236" customFormat="1" x14ac:dyDescent="0.2">
      <c r="A201" s="244" t="s">
        <v>271</v>
      </c>
      <c r="B201" s="264" t="s">
        <v>605</v>
      </c>
      <c r="C201" s="241"/>
      <c r="D201" s="340"/>
      <c r="E201" s="340"/>
      <c r="F201" s="340">
        <v>6000</v>
      </c>
      <c r="G201" s="340"/>
      <c r="H201" s="340"/>
      <c r="I201" s="398">
        <f>+I202</f>
        <v>6000</v>
      </c>
    </row>
    <row r="202" spans="1:9" s="236" customFormat="1" x14ac:dyDescent="0.2">
      <c r="A202" s="244" t="s">
        <v>604</v>
      </c>
      <c r="B202" s="265" t="s">
        <v>606</v>
      </c>
      <c r="C202" s="241"/>
      <c r="D202" s="340"/>
      <c r="E202" s="340"/>
      <c r="F202" s="352">
        <v>6000</v>
      </c>
      <c r="G202" s="340"/>
      <c r="H202" s="340"/>
      <c r="I202" s="345">
        <f t="shared" ref="I202" si="96">+D202+E202+F202+G202+H202</f>
        <v>6000</v>
      </c>
    </row>
    <row r="203" spans="1:9" s="236" customFormat="1" x14ac:dyDescent="0.2">
      <c r="A203" s="240"/>
      <c r="B203" s="264"/>
      <c r="C203" s="241"/>
      <c r="D203" s="340"/>
      <c r="E203" s="340"/>
      <c r="F203" s="340"/>
      <c r="G203" s="340"/>
      <c r="H203" s="340"/>
      <c r="I203" s="398"/>
    </row>
    <row r="204" spans="1:9" s="236" customFormat="1" x14ac:dyDescent="0.2">
      <c r="A204" s="240" t="s">
        <v>103</v>
      </c>
      <c r="B204" s="264" t="s">
        <v>276</v>
      </c>
      <c r="C204" s="241"/>
      <c r="D204" s="340">
        <f>SUM(D205:D205)</f>
        <v>1500</v>
      </c>
      <c r="E204" s="340">
        <f t="shared" ref="E204:I204" si="97">SUM(E205:E205)</f>
        <v>0</v>
      </c>
      <c r="F204" s="340">
        <f t="shared" si="97"/>
        <v>2500</v>
      </c>
      <c r="G204" s="340">
        <f t="shared" si="97"/>
        <v>0</v>
      </c>
      <c r="H204" s="340">
        <f t="shared" si="97"/>
        <v>0</v>
      </c>
      <c r="I204" s="398">
        <f t="shared" si="97"/>
        <v>4000</v>
      </c>
    </row>
    <row r="205" spans="1:9" s="236" customFormat="1" ht="20.399999999999999" x14ac:dyDescent="0.2">
      <c r="A205" s="244" t="s">
        <v>297</v>
      </c>
      <c r="B205" s="339" t="s">
        <v>469</v>
      </c>
      <c r="C205" s="241" t="s">
        <v>402</v>
      </c>
      <c r="D205" s="241">
        <v>1500</v>
      </c>
      <c r="E205" s="241"/>
      <c r="F205" s="241">
        <v>2500</v>
      </c>
      <c r="G205" s="241"/>
      <c r="H205" s="241"/>
      <c r="I205" s="345">
        <f t="shared" ref="I205" si="98">+D205+E205+F205+G205+H205</f>
        <v>4000</v>
      </c>
    </row>
    <row r="206" spans="1:9" s="236" customFormat="1" x14ac:dyDescent="0.2">
      <c r="A206" s="244"/>
      <c r="B206" s="339"/>
      <c r="C206" s="241"/>
      <c r="D206" s="241"/>
      <c r="E206" s="241"/>
      <c r="F206" s="241"/>
      <c r="G206" s="241"/>
      <c r="H206" s="241"/>
      <c r="I206" s="345"/>
    </row>
    <row r="207" spans="1:9" s="236" customFormat="1" x14ac:dyDescent="0.2">
      <c r="A207" s="353">
        <v>7.5</v>
      </c>
      <c r="B207" s="264" t="s">
        <v>525</v>
      </c>
      <c r="C207" s="241"/>
      <c r="D207" s="243">
        <f>+D208+D211</f>
        <v>57979.79</v>
      </c>
      <c r="E207" s="243">
        <f t="shared" ref="E207:I207" si="99">+E208+E211</f>
        <v>0</v>
      </c>
      <c r="F207" s="243">
        <f t="shared" si="99"/>
        <v>-57979.79</v>
      </c>
      <c r="G207" s="243">
        <f t="shared" si="99"/>
        <v>0</v>
      </c>
      <c r="H207" s="243">
        <f t="shared" si="99"/>
        <v>0</v>
      </c>
      <c r="I207" s="344">
        <f t="shared" si="99"/>
        <v>0</v>
      </c>
    </row>
    <row r="208" spans="1:9" s="236" customFormat="1" x14ac:dyDescent="0.2">
      <c r="A208" s="240" t="s">
        <v>523</v>
      </c>
      <c r="B208" s="264" t="s">
        <v>524</v>
      </c>
      <c r="C208" s="241"/>
      <c r="D208" s="243">
        <f>+D209</f>
        <v>57979.79</v>
      </c>
      <c r="E208" s="243">
        <f t="shared" ref="E208:I208" si="100">E209</f>
        <v>0</v>
      </c>
      <c r="F208" s="243">
        <f t="shared" si="100"/>
        <v>-57979.79</v>
      </c>
      <c r="G208" s="243">
        <f t="shared" si="100"/>
        <v>0</v>
      </c>
      <c r="H208" s="243">
        <f t="shared" si="100"/>
        <v>0</v>
      </c>
      <c r="I208" s="344">
        <f t="shared" si="100"/>
        <v>0</v>
      </c>
    </row>
    <row r="209" spans="1:9" s="236" customFormat="1" x14ac:dyDescent="0.2">
      <c r="A209" s="244" t="s">
        <v>503</v>
      </c>
      <c r="B209" s="265" t="s">
        <v>504</v>
      </c>
      <c r="C209" s="241"/>
      <c r="D209" s="241">
        <v>57979.79</v>
      </c>
      <c r="E209" s="241"/>
      <c r="F209" s="241">
        <v>-57979.79</v>
      </c>
      <c r="G209" s="241"/>
      <c r="H209" s="241"/>
      <c r="I209" s="345">
        <f t="shared" ref="I209" si="101">+D209+E209+F209+G209+H209</f>
        <v>0</v>
      </c>
    </row>
    <row r="210" spans="1:9" s="236" customFormat="1" x14ac:dyDescent="0.2">
      <c r="A210" s="244"/>
      <c r="B210" s="265"/>
      <c r="C210" s="241"/>
      <c r="D210" s="241"/>
      <c r="E210" s="241"/>
      <c r="F210" s="241"/>
      <c r="G210" s="241"/>
      <c r="H210" s="241"/>
      <c r="I210" s="345"/>
    </row>
    <row r="211" spans="1:9" s="236" customFormat="1" x14ac:dyDescent="0.2">
      <c r="A211" s="240" t="s">
        <v>597</v>
      </c>
      <c r="B211" s="264" t="s">
        <v>598</v>
      </c>
      <c r="C211" s="241"/>
      <c r="D211" s="243">
        <f>+D212</f>
        <v>0</v>
      </c>
      <c r="E211" s="243">
        <f t="shared" ref="E211:I211" si="102">+E212</f>
        <v>0</v>
      </c>
      <c r="F211" s="243">
        <f t="shared" si="102"/>
        <v>0</v>
      </c>
      <c r="G211" s="243">
        <f t="shared" si="102"/>
        <v>0</v>
      </c>
      <c r="H211" s="243">
        <f t="shared" si="102"/>
        <v>0</v>
      </c>
      <c r="I211" s="344">
        <f t="shared" si="102"/>
        <v>0</v>
      </c>
    </row>
    <row r="212" spans="1:9" s="236" customFormat="1" x14ac:dyDescent="0.2">
      <c r="A212" s="244" t="s">
        <v>596</v>
      </c>
      <c r="B212" s="265" t="s">
        <v>599</v>
      </c>
      <c r="C212" s="242"/>
      <c r="D212" s="241"/>
      <c r="E212" s="241"/>
      <c r="F212" s="241">
        <v>0</v>
      </c>
      <c r="G212" s="241"/>
      <c r="H212" s="241">
        <f t="shared" ref="H212:H213" si="103">+D212</f>
        <v>0</v>
      </c>
      <c r="I212" s="345">
        <f t="shared" ref="I212" si="104">+D212+E212+F212+G212+H212</f>
        <v>0</v>
      </c>
    </row>
    <row r="213" spans="1:9" s="236" customFormat="1" x14ac:dyDescent="0.2">
      <c r="A213" s="359" t="s">
        <v>104</v>
      </c>
      <c r="B213" s="369" t="s">
        <v>346</v>
      </c>
      <c r="C213" s="368"/>
      <c r="D213" s="243"/>
      <c r="E213" s="243"/>
      <c r="F213" s="243"/>
      <c r="G213" s="243"/>
      <c r="H213" s="368">
        <f t="shared" si="103"/>
        <v>0</v>
      </c>
      <c r="I213" s="402"/>
    </row>
    <row r="214" spans="1:9" s="236" customFormat="1" ht="35.25" customHeight="1" x14ac:dyDescent="0.2">
      <c r="A214" s="371" t="s">
        <v>345</v>
      </c>
      <c r="B214" s="372" t="s">
        <v>475</v>
      </c>
      <c r="C214" s="368"/>
      <c r="D214" s="243">
        <f>+D215</f>
        <v>4807.9500000000007</v>
      </c>
      <c r="E214" s="243">
        <f t="shared" ref="E214:I214" si="105">+E215</f>
        <v>0</v>
      </c>
      <c r="F214" s="243">
        <f t="shared" si="105"/>
        <v>8670.94</v>
      </c>
      <c r="G214" s="243">
        <f t="shared" si="105"/>
        <v>0</v>
      </c>
      <c r="H214" s="368">
        <f t="shared" si="105"/>
        <v>0</v>
      </c>
      <c r="I214" s="402">
        <f t="shared" si="105"/>
        <v>13478.890000000001</v>
      </c>
    </row>
    <row r="215" spans="1:9" s="246" customFormat="1" x14ac:dyDescent="0.2">
      <c r="A215" s="393">
        <v>7</v>
      </c>
      <c r="B215" s="264" t="s">
        <v>311</v>
      </c>
      <c r="C215" s="249"/>
      <c r="D215" s="243">
        <f>+D217</f>
        <v>4807.9500000000007</v>
      </c>
      <c r="E215" s="243">
        <f t="shared" ref="E215:I215" si="106">+E217</f>
        <v>0</v>
      </c>
      <c r="F215" s="243">
        <f t="shared" si="106"/>
        <v>8670.94</v>
      </c>
      <c r="G215" s="243">
        <f t="shared" si="106"/>
        <v>0</v>
      </c>
      <c r="H215" s="256">
        <f t="shared" si="106"/>
        <v>0</v>
      </c>
      <c r="I215" s="410">
        <f t="shared" si="106"/>
        <v>13478.890000000001</v>
      </c>
    </row>
    <row r="216" spans="1:9" s="246" customFormat="1" ht="12" x14ac:dyDescent="0.35">
      <c r="A216" s="393"/>
      <c r="B216" s="264"/>
      <c r="C216" s="249"/>
      <c r="D216" s="302"/>
      <c r="E216" s="302"/>
      <c r="F216" s="302"/>
      <c r="G216" s="302"/>
      <c r="H216" s="303"/>
      <c r="I216" s="413"/>
    </row>
    <row r="217" spans="1:9" s="236" customFormat="1" x14ac:dyDescent="0.2">
      <c r="A217" s="240" t="s">
        <v>99</v>
      </c>
      <c r="B217" s="264" t="s">
        <v>349</v>
      </c>
      <c r="C217" s="241"/>
      <c r="D217" s="243">
        <f t="shared" ref="D217:H217" si="107">+D219+D224+D230</f>
        <v>4807.9500000000007</v>
      </c>
      <c r="E217" s="243">
        <f t="shared" si="107"/>
        <v>0</v>
      </c>
      <c r="F217" s="243">
        <f t="shared" si="107"/>
        <v>8670.94</v>
      </c>
      <c r="G217" s="243">
        <f t="shared" si="107"/>
        <v>0</v>
      </c>
      <c r="H217" s="243">
        <f t="shared" si="107"/>
        <v>0</v>
      </c>
      <c r="I217" s="344">
        <f>+I219+I224+I230</f>
        <v>13478.890000000001</v>
      </c>
    </row>
    <row r="218" spans="1:9" s="236" customFormat="1" x14ac:dyDescent="0.2">
      <c r="A218" s="240"/>
      <c r="B218" s="264"/>
      <c r="C218" s="241"/>
      <c r="D218" s="243"/>
      <c r="E218" s="243"/>
      <c r="F218" s="243"/>
      <c r="G218" s="243"/>
      <c r="H218" s="243"/>
      <c r="I218" s="344"/>
    </row>
    <row r="219" spans="1:9" s="236" customFormat="1" x14ac:dyDescent="0.2">
      <c r="A219" s="240" t="s">
        <v>271</v>
      </c>
      <c r="B219" s="264" t="s">
        <v>273</v>
      </c>
      <c r="C219" s="241"/>
      <c r="D219" s="243">
        <f t="shared" ref="D219:H219" si="108">SUM(D220:D222)</f>
        <v>2200</v>
      </c>
      <c r="E219" s="243">
        <f t="shared" si="108"/>
        <v>0</v>
      </c>
      <c r="F219" s="243">
        <f t="shared" si="108"/>
        <v>5000</v>
      </c>
      <c r="G219" s="243">
        <f t="shared" si="108"/>
        <v>0</v>
      </c>
      <c r="H219" s="243">
        <f t="shared" si="108"/>
        <v>0</v>
      </c>
      <c r="I219" s="344">
        <f>SUM(I220:I222)</f>
        <v>7200</v>
      </c>
    </row>
    <row r="220" spans="1:9" s="246" customFormat="1" x14ac:dyDescent="0.2">
      <c r="A220" s="244" t="s">
        <v>493</v>
      </c>
      <c r="B220" s="265" t="s">
        <v>492</v>
      </c>
      <c r="C220" s="241"/>
      <c r="D220" s="241">
        <v>1000</v>
      </c>
      <c r="E220" s="348"/>
      <c r="F220" s="241">
        <v>5000</v>
      </c>
      <c r="G220" s="348"/>
      <c r="H220" s="241"/>
      <c r="I220" s="345">
        <f t="shared" ref="I220:I222" si="109">+D220+E220+F220+G220+H220</f>
        <v>6000</v>
      </c>
    </row>
    <row r="221" spans="1:9" s="236" customFormat="1" x14ac:dyDescent="0.2">
      <c r="A221" s="244" t="s">
        <v>272</v>
      </c>
      <c r="B221" s="265" t="s">
        <v>319</v>
      </c>
      <c r="C221" s="241" t="s">
        <v>410</v>
      </c>
      <c r="D221" s="241">
        <v>200</v>
      </c>
      <c r="E221" s="348"/>
      <c r="F221" s="348"/>
      <c r="G221" s="348"/>
      <c r="H221" s="241"/>
      <c r="I221" s="345">
        <f t="shared" si="109"/>
        <v>200</v>
      </c>
    </row>
    <row r="222" spans="1:9" s="236" customFormat="1" x14ac:dyDescent="0.2">
      <c r="A222" s="244" t="s">
        <v>481</v>
      </c>
      <c r="B222" s="265" t="s">
        <v>482</v>
      </c>
      <c r="C222" s="241"/>
      <c r="D222" s="241">
        <v>1000</v>
      </c>
      <c r="E222" s="348"/>
      <c r="F222" s="348"/>
      <c r="G222" s="348"/>
      <c r="H222" s="241"/>
      <c r="I222" s="345">
        <f t="shared" si="109"/>
        <v>1000</v>
      </c>
    </row>
    <row r="223" spans="1:9" s="236" customFormat="1" x14ac:dyDescent="0.2">
      <c r="A223" s="244"/>
      <c r="B223" s="265"/>
      <c r="C223" s="243" t="s">
        <v>313</v>
      </c>
      <c r="D223" s="241"/>
      <c r="E223" s="241"/>
      <c r="F223" s="241"/>
      <c r="G223" s="241"/>
      <c r="H223" s="241"/>
      <c r="I223" s="396"/>
    </row>
    <row r="224" spans="1:9" s="236" customFormat="1" x14ac:dyDescent="0.2">
      <c r="A224" s="240" t="s">
        <v>103</v>
      </c>
      <c r="B224" s="264" t="s">
        <v>105</v>
      </c>
      <c r="C224" s="243"/>
      <c r="D224" s="243">
        <f>SUM(D225:D228)</f>
        <v>2127.2200000000003</v>
      </c>
      <c r="E224" s="243">
        <f t="shared" ref="E224:I224" si="110">SUM(E225:E228)</f>
        <v>0</v>
      </c>
      <c r="F224" s="243">
        <f t="shared" si="110"/>
        <v>2848.25</v>
      </c>
      <c r="G224" s="243">
        <f t="shared" si="110"/>
        <v>0</v>
      </c>
      <c r="H224" s="243">
        <f t="shared" si="110"/>
        <v>0</v>
      </c>
      <c r="I224" s="344">
        <f t="shared" si="110"/>
        <v>4975.47</v>
      </c>
    </row>
    <row r="225" spans="1:9" s="236" customFormat="1" x14ac:dyDescent="0.2">
      <c r="A225" s="244" t="s">
        <v>117</v>
      </c>
      <c r="B225" s="265" t="s">
        <v>118</v>
      </c>
      <c r="C225" s="241" t="s">
        <v>409</v>
      </c>
      <c r="D225" s="241">
        <v>500</v>
      </c>
      <c r="E225" s="241"/>
      <c r="F225" s="241"/>
      <c r="G225" s="241"/>
      <c r="H225" s="241"/>
      <c r="I225" s="345">
        <f t="shared" ref="I225:I232" si="111">+D225+E225+F225+G225+H225</f>
        <v>500</v>
      </c>
    </row>
    <row r="226" spans="1:9" s="236" customFormat="1" ht="20.399999999999999" x14ac:dyDescent="0.2">
      <c r="A226" s="244" t="s">
        <v>274</v>
      </c>
      <c r="B226" s="265" t="s">
        <v>314</v>
      </c>
      <c r="C226" s="241" t="s">
        <v>410</v>
      </c>
      <c r="D226" s="241">
        <v>85</v>
      </c>
      <c r="E226" s="241"/>
      <c r="F226" s="241"/>
      <c r="G226" s="241"/>
      <c r="H226" s="241"/>
      <c r="I226" s="345">
        <f t="shared" si="111"/>
        <v>85</v>
      </c>
    </row>
    <row r="227" spans="1:9" s="236" customFormat="1" x14ac:dyDescent="0.2">
      <c r="A227" s="244" t="s">
        <v>275</v>
      </c>
      <c r="B227" s="265" t="s">
        <v>318</v>
      </c>
      <c r="C227" s="241" t="s">
        <v>412</v>
      </c>
      <c r="D227" s="241">
        <v>42.22</v>
      </c>
      <c r="E227" s="241"/>
      <c r="F227" s="241">
        <v>150</v>
      </c>
      <c r="G227" s="241"/>
      <c r="H227" s="241"/>
      <c r="I227" s="345">
        <f t="shared" si="111"/>
        <v>192.22</v>
      </c>
    </row>
    <row r="228" spans="1:9" s="347" customFormat="1" x14ac:dyDescent="0.2">
      <c r="A228" s="244" t="s">
        <v>511</v>
      </c>
      <c r="B228" s="265" t="s">
        <v>336</v>
      </c>
      <c r="C228" s="241" t="s">
        <v>410</v>
      </c>
      <c r="D228" s="241">
        <v>1500</v>
      </c>
      <c r="E228" s="348"/>
      <c r="F228" s="241">
        <v>2698.25</v>
      </c>
      <c r="G228" s="348"/>
      <c r="H228" s="241"/>
      <c r="I228" s="345">
        <f t="shared" si="111"/>
        <v>4198.25</v>
      </c>
    </row>
    <row r="229" spans="1:9" s="347" customFormat="1" x14ac:dyDescent="0.2">
      <c r="A229" s="244"/>
      <c r="B229" s="265"/>
      <c r="C229" s="241"/>
      <c r="D229" s="241"/>
      <c r="E229" s="382"/>
      <c r="F229" s="382"/>
      <c r="G229" s="382"/>
      <c r="H229" s="241"/>
      <c r="I229" s="345"/>
    </row>
    <row r="230" spans="1:9" s="347" customFormat="1" x14ac:dyDescent="0.2">
      <c r="A230" s="240" t="s">
        <v>569</v>
      </c>
      <c r="B230" s="264" t="s">
        <v>570</v>
      </c>
      <c r="C230" s="241"/>
      <c r="D230" s="243">
        <f>SUM(D231:D232)</f>
        <v>480.73</v>
      </c>
      <c r="E230" s="243">
        <f t="shared" ref="E230:I230" si="112">SUM(E231:E232)</f>
        <v>0</v>
      </c>
      <c r="F230" s="243">
        <f t="shared" si="112"/>
        <v>822.69</v>
      </c>
      <c r="G230" s="243">
        <f t="shared" si="112"/>
        <v>0</v>
      </c>
      <c r="H230" s="243">
        <f t="shared" si="112"/>
        <v>0</v>
      </c>
      <c r="I230" s="344">
        <f t="shared" si="112"/>
        <v>1303.42</v>
      </c>
    </row>
    <row r="231" spans="1:9" s="347" customFormat="1" x14ac:dyDescent="0.2">
      <c r="A231" s="244" t="s">
        <v>567</v>
      </c>
      <c r="B231" s="265" t="s">
        <v>568</v>
      </c>
      <c r="C231" s="241" t="s">
        <v>410</v>
      </c>
      <c r="D231" s="241"/>
      <c r="E231" s="348"/>
      <c r="F231" s="348">
        <v>822.69</v>
      </c>
      <c r="G231" s="348"/>
      <c r="H231" s="241"/>
      <c r="I231" s="345">
        <f t="shared" si="111"/>
        <v>822.69</v>
      </c>
    </row>
    <row r="232" spans="1:9" s="236" customFormat="1" ht="13.2" x14ac:dyDescent="0.25">
      <c r="A232" s="244" t="s">
        <v>382</v>
      </c>
      <c r="B232" s="265" t="s">
        <v>385</v>
      </c>
      <c r="C232" s="241" t="s">
        <v>410</v>
      </c>
      <c r="D232" s="422">
        <v>480.73</v>
      </c>
      <c r="E232" s="422"/>
      <c r="F232" s="422"/>
      <c r="G232" s="422"/>
      <c r="H232" s="241"/>
      <c r="I232" s="345">
        <f t="shared" si="111"/>
        <v>480.73</v>
      </c>
    </row>
    <row r="233" spans="1:9" s="236" customFormat="1" ht="13.2" x14ac:dyDescent="0.25">
      <c r="A233" s="258"/>
      <c r="B233" s="274"/>
      <c r="C233" s="241"/>
      <c r="D233" s="427"/>
      <c r="E233" s="427"/>
      <c r="F233" s="427"/>
      <c r="G233" s="427"/>
      <c r="H233" s="241"/>
      <c r="I233" s="414"/>
    </row>
    <row r="234" spans="1:9" s="236" customFormat="1" ht="20.399999999999999" x14ac:dyDescent="0.2">
      <c r="A234" s="258"/>
      <c r="B234" s="356" t="s">
        <v>582</v>
      </c>
      <c r="C234" s="392"/>
      <c r="D234" s="428">
        <f>+D235</f>
        <v>0</v>
      </c>
      <c r="E234" s="428">
        <f t="shared" ref="E234:I234" si="113">+E235</f>
        <v>0</v>
      </c>
      <c r="F234" s="428">
        <f t="shared" si="113"/>
        <v>7802.1</v>
      </c>
      <c r="G234" s="428">
        <f t="shared" si="113"/>
        <v>0</v>
      </c>
      <c r="H234" s="392">
        <f t="shared" si="113"/>
        <v>0</v>
      </c>
      <c r="I234" s="415">
        <f t="shared" si="113"/>
        <v>7802.1</v>
      </c>
    </row>
    <row r="235" spans="1:9" s="236" customFormat="1" x14ac:dyDescent="0.2">
      <c r="A235" s="240" t="s">
        <v>310</v>
      </c>
      <c r="B235" s="264" t="s">
        <v>311</v>
      </c>
      <c r="C235" s="241"/>
      <c r="D235" s="243">
        <f t="shared" ref="D235" si="114">+D236+D248</f>
        <v>0</v>
      </c>
      <c r="E235" s="243">
        <f t="shared" ref="E235" si="115">+E236+E248</f>
        <v>0</v>
      </c>
      <c r="F235" s="243">
        <f t="shared" ref="F235" si="116">+F236+F248</f>
        <v>7802.1</v>
      </c>
      <c r="G235" s="243">
        <f t="shared" ref="G235" si="117">+G236+G248</f>
        <v>0</v>
      </c>
      <c r="H235" s="243">
        <f t="shared" ref="H235" si="118">+H236+H248</f>
        <v>0</v>
      </c>
      <c r="I235" s="344">
        <f t="shared" ref="I235" si="119">+I236+I248</f>
        <v>7802.1</v>
      </c>
    </row>
    <row r="236" spans="1:9" s="236" customFormat="1" x14ac:dyDescent="0.2">
      <c r="A236" s="240" t="s">
        <v>89</v>
      </c>
      <c r="B236" s="264" t="s">
        <v>295</v>
      </c>
      <c r="C236" s="241"/>
      <c r="D236" s="243">
        <f t="shared" ref="D236:E236" si="120">+D237+D240+D244</f>
        <v>0</v>
      </c>
      <c r="E236" s="243">
        <f t="shared" si="120"/>
        <v>0</v>
      </c>
      <c r="F236" s="243">
        <f t="shared" ref="F236" si="121">+F237+F240+F244</f>
        <v>6902.1</v>
      </c>
      <c r="G236" s="243">
        <f t="shared" ref="G236:I236" si="122">+G237+G240+G244</f>
        <v>0</v>
      </c>
      <c r="H236" s="243">
        <f t="shared" si="122"/>
        <v>0</v>
      </c>
      <c r="I236" s="344">
        <f t="shared" si="122"/>
        <v>6902.1</v>
      </c>
    </row>
    <row r="237" spans="1:9" s="236" customFormat="1" x14ac:dyDescent="0.2">
      <c r="A237" s="240" t="s">
        <v>90</v>
      </c>
      <c r="B237" s="264" t="s">
        <v>44</v>
      </c>
      <c r="C237" s="243"/>
      <c r="D237" s="243">
        <f t="shared" ref="D237:I237" si="123">+D238</f>
        <v>0</v>
      </c>
      <c r="E237" s="243">
        <f t="shared" si="123"/>
        <v>0</v>
      </c>
      <c r="F237" s="243">
        <f t="shared" si="123"/>
        <v>5400</v>
      </c>
      <c r="G237" s="243">
        <f t="shared" si="123"/>
        <v>0</v>
      </c>
      <c r="H237" s="243">
        <f t="shared" si="123"/>
        <v>0</v>
      </c>
      <c r="I237" s="344">
        <f t="shared" si="123"/>
        <v>5400</v>
      </c>
    </row>
    <row r="238" spans="1:9" s="236" customFormat="1" x14ac:dyDescent="0.2">
      <c r="A238" s="244" t="s">
        <v>520</v>
      </c>
      <c r="B238" s="265" t="s">
        <v>519</v>
      </c>
      <c r="C238" s="243" t="s">
        <v>404</v>
      </c>
      <c r="D238" s="241">
        <f>+DISTRIBUTIVO!E167</f>
        <v>0</v>
      </c>
      <c r="E238" s="241">
        <v>0</v>
      </c>
      <c r="F238" s="241">
        <f>+DISTRIBUTIVO!E42</f>
        <v>5400</v>
      </c>
      <c r="G238" s="241"/>
      <c r="H238" s="241"/>
      <c r="I238" s="345">
        <f>+D238+E238+F238+G238+H238</f>
        <v>5400</v>
      </c>
    </row>
    <row r="239" spans="1:9" s="236" customFormat="1" x14ac:dyDescent="0.2">
      <c r="A239" s="240"/>
      <c r="B239" s="264"/>
      <c r="C239" s="243"/>
      <c r="D239" s="243"/>
      <c r="E239" s="243"/>
      <c r="F239" s="243"/>
      <c r="G239" s="243"/>
      <c r="H239" s="241">
        <f t="shared" ref="H239" si="124">+D239</f>
        <v>0</v>
      </c>
      <c r="I239" s="396"/>
    </row>
    <row r="240" spans="1:9" s="236" customFormat="1" x14ac:dyDescent="0.2">
      <c r="A240" s="240" t="s">
        <v>92</v>
      </c>
      <c r="B240" s="264" t="s">
        <v>48</v>
      </c>
      <c r="C240" s="234"/>
      <c r="D240" s="243">
        <f>+D241+D242</f>
        <v>0</v>
      </c>
      <c r="E240" s="243">
        <f t="shared" ref="E240:I240" si="125">+E241+E242</f>
        <v>0</v>
      </c>
      <c r="F240" s="243">
        <f t="shared" si="125"/>
        <v>900</v>
      </c>
      <c r="G240" s="243">
        <f t="shared" si="125"/>
        <v>0</v>
      </c>
      <c r="H240" s="243">
        <f t="shared" si="125"/>
        <v>0</v>
      </c>
      <c r="I240" s="344">
        <f t="shared" si="125"/>
        <v>900</v>
      </c>
    </row>
    <row r="241" spans="1:10" s="236" customFormat="1" x14ac:dyDescent="0.2">
      <c r="A241" s="244" t="s">
        <v>93</v>
      </c>
      <c r="B241" s="265" t="s">
        <v>50</v>
      </c>
      <c r="C241" s="243" t="s">
        <v>412</v>
      </c>
      <c r="D241" s="241">
        <f>DISTRIBUTIVO!F174</f>
        <v>0</v>
      </c>
      <c r="E241" s="241"/>
      <c r="F241" s="241">
        <f>+DISTRIBUTIVO!F42</f>
        <v>450</v>
      </c>
      <c r="G241" s="241"/>
      <c r="H241" s="241"/>
      <c r="I241" s="345">
        <f t="shared" ref="I241:I242" si="126">+D241+E241+F241+G241+H241</f>
        <v>450</v>
      </c>
    </row>
    <row r="242" spans="1:10" s="236" customFormat="1" x14ac:dyDescent="0.2">
      <c r="A242" s="244" t="s">
        <v>94</v>
      </c>
      <c r="B242" s="265" t="s">
        <v>52</v>
      </c>
      <c r="C242" s="243" t="s">
        <v>412</v>
      </c>
      <c r="D242" s="241">
        <f>DISTRIBUTIVO!G167</f>
        <v>0</v>
      </c>
      <c r="E242" s="241"/>
      <c r="F242" s="241">
        <f>+DISTRIBUTIVO!G32</f>
        <v>450</v>
      </c>
      <c r="G242" s="241"/>
      <c r="H242" s="241"/>
      <c r="I242" s="345">
        <f t="shared" si="126"/>
        <v>450</v>
      </c>
    </row>
    <row r="243" spans="1:10" s="236" customFormat="1" x14ac:dyDescent="0.2">
      <c r="A243" s="244"/>
      <c r="B243" s="265"/>
      <c r="C243" s="243"/>
      <c r="D243" s="241"/>
      <c r="E243" s="241"/>
      <c r="F243" s="241"/>
      <c r="G243" s="241"/>
      <c r="H243" s="241"/>
      <c r="I243" s="396"/>
    </row>
    <row r="244" spans="1:10" s="236" customFormat="1" x14ac:dyDescent="0.2">
      <c r="A244" s="240" t="s">
        <v>96</v>
      </c>
      <c r="B244" s="264" t="s">
        <v>62</v>
      </c>
      <c r="C244" s="241"/>
      <c r="D244" s="243">
        <f>+D245+D246</f>
        <v>0</v>
      </c>
      <c r="E244" s="243">
        <f t="shared" ref="E244:I244" si="127">+E245+E246</f>
        <v>0</v>
      </c>
      <c r="F244" s="243">
        <f t="shared" si="127"/>
        <v>602.1</v>
      </c>
      <c r="G244" s="243">
        <f t="shared" si="127"/>
        <v>0</v>
      </c>
      <c r="H244" s="243">
        <f t="shared" si="127"/>
        <v>0</v>
      </c>
      <c r="I244" s="344">
        <f t="shared" si="127"/>
        <v>602.1</v>
      </c>
    </row>
    <row r="245" spans="1:10" s="236" customFormat="1" ht="15.6" customHeight="1" x14ac:dyDescent="0.2">
      <c r="A245" s="244" t="s">
        <v>97</v>
      </c>
      <c r="B245" s="265" t="s">
        <v>64</v>
      </c>
      <c r="C245" s="243" t="s">
        <v>412</v>
      </c>
      <c r="D245" s="241">
        <f>DISTRIBUTIVO!I167</f>
        <v>0</v>
      </c>
      <c r="E245" s="241"/>
      <c r="F245" s="241">
        <f>+DISTRIBUTIVO!I42</f>
        <v>602.1</v>
      </c>
      <c r="G245" s="241"/>
      <c r="H245" s="241"/>
      <c r="I245" s="345">
        <f t="shared" ref="I245:I246" si="128">+D245+E245+F245+G245+H245</f>
        <v>602.1</v>
      </c>
    </row>
    <row r="246" spans="1:10" s="236" customFormat="1" x14ac:dyDescent="0.2">
      <c r="A246" s="244" t="s">
        <v>98</v>
      </c>
      <c r="B246" s="265" t="s">
        <v>401</v>
      </c>
      <c r="C246" s="243" t="s">
        <v>412</v>
      </c>
      <c r="D246" s="241">
        <f>+DISTRIBUTIVO!H174</f>
        <v>0</v>
      </c>
      <c r="E246" s="241"/>
      <c r="F246" s="241">
        <f>+DISTRIBUTIVO!H42</f>
        <v>0</v>
      </c>
      <c r="G246" s="241"/>
      <c r="H246" s="241"/>
      <c r="I246" s="345">
        <f t="shared" si="128"/>
        <v>0</v>
      </c>
    </row>
    <row r="247" spans="1:10" s="236" customFormat="1" ht="13.2" x14ac:dyDescent="0.25">
      <c r="A247" s="244"/>
      <c r="B247" s="265"/>
      <c r="C247" s="241"/>
      <c r="D247" s="422"/>
      <c r="E247" s="422"/>
      <c r="F247" s="422"/>
      <c r="G247" s="422"/>
      <c r="H247" s="241"/>
      <c r="I247" s="345"/>
    </row>
    <row r="248" spans="1:10" s="236" customFormat="1" ht="13.2" x14ac:dyDescent="0.25">
      <c r="A248" s="240" t="s">
        <v>589</v>
      </c>
      <c r="B248" s="264" t="s">
        <v>349</v>
      </c>
      <c r="C248" s="241"/>
      <c r="D248" s="422"/>
      <c r="E248" s="422"/>
      <c r="F248" s="429">
        <f>+F249+F252</f>
        <v>900</v>
      </c>
      <c r="G248" s="429">
        <f t="shared" ref="G248:I248" si="129">+G249+G252</f>
        <v>0</v>
      </c>
      <c r="H248" s="391">
        <f t="shared" si="129"/>
        <v>0</v>
      </c>
      <c r="I248" s="416">
        <f t="shared" si="129"/>
        <v>900</v>
      </c>
    </row>
    <row r="249" spans="1:10" s="236" customFormat="1" ht="13.2" x14ac:dyDescent="0.25">
      <c r="A249" s="240" t="s">
        <v>271</v>
      </c>
      <c r="B249" s="264" t="s">
        <v>588</v>
      </c>
      <c r="C249" s="241"/>
      <c r="D249" s="422"/>
      <c r="E249" s="422"/>
      <c r="F249" s="429">
        <f>+F250</f>
        <v>500</v>
      </c>
      <c r="G249" s="429">
        <f t="shared" ref="G249:I249" si="130">+G250</f>
        <v>0</v>
      </c>
      <c r="H249" s="391">
        <f t="shared" si="130"/>
        <v>0</v>
      </c>
      <c r="I249" s="416">
        <f t="shared" si="130"/>
        <v>500</v>
      </c>
    </row>
    <row r="250" spans="1:10" s="236" customFormat="1" ht="13.2" x14ac:dyDescent="0.25">
      <c r="A250" s="244" t="s">
        <v>587</v>
      </c>
      <c r="B250" s="265" t="s">
        <v>586</v>
      </c>
      <c r="C250" s="241"/>
      <c r="D250" s="422"/>
      <c r="E250" s="422"/>
      <c r="F250" s="422">
        <v>500</v>
      </c>
      <c r="G250" s="422"/>
      <c r="H250" s="241"/>
      <c r="I250" s="345">
        <f t="shared" ref="I250" si="131">+D250+E250+F250+G250+H250</f>
        <v>500</v>
      </c>
    </row>
    <row r="251" spans="1:10" s="236" customFormat="1" ht="13.2" x14ac:dyDescent="0.25">
      <c r="A251" s="244"/>
      <c r="B251" s="265"/>
      <c r="C251" s="241"/>
      <c r="D251" s="422"/>
      <c r="E251" s="422"/>
      <c r="F251" s="422"/>
      <c r="G251" s="422"/>
      <c r="H251" s="241"/>
      <c r="I251" s="345"/>
    </row>
    <row r="252" spans="1:10" s="236" customFormat="1" ht="13.2" x14ac:dyDescent="0.25">
      <c r="A252" s="240" t="s">
        <v>103</v>
      </c>
      <c r="B252" s="264" t="s">
        <v>276</v>
      </c>
      <c r="C252" s="241"/>
      <c r="D252" s="422"/>
      <c r="E252" s="422"/>
      <c r="F252" s="429">
        <f>+F253</f>
        <v>400</v>
      </c>
      <c r="G252" s="429">
        <f t="shared" ref="G252:I252" si="132">+G253</f>
        <v>0</v>
      </c>
      <c r="H252" s="391">
        <f t="shared" si="132"/>
        <v>0</v>
      </c>
      <c r="I252" s="416">
        <f t="shared" si="132"/>
        <v>400</v>
      </c>
    </row>
    <row r="253" spans="1:10" ht="13.2" x14ac:dyDescent="0.25">
      <c r="A253" s="244" t="s">
        <v>275</v>
      </c>
      <c r="B253" s="265" t="s">
        <v>590</v>
      </c>
      <c r="C253" s="241"/>
      <c r="D253" s="422"/>
      <c r="E253" s="422"/>
      <c r="F253" s="422">
        <v>400</v>
      </c>
      <c r="G253" s="422"/>
      <c r="H253" s="241"/>
      <c r="I253" s="345">
        <f t="shared" ref="I253" si="133">+D253+E253+F253+G253+H253</f>
        <v>400</v>
      </c>
    </row>
    <row r="254" spans="1:10" x14ac:dyDescent="0.2">
      <c r="A254" s="244"/>
      <c r="B254" s="265"/>
      <c r="C254" s="243"/>
      <c r="D254" s="241"/>
      <c r="E254" s="241"/>
      <c r="F254" s="241"/>
      <c r="G254" s="241"/>
      <c r="H254" s="241"/>
      <c r="I254" s="344"/>
    </row>
    <row r="255" spans="1:10" ht="20.399999999999999" x14ac:dyDescent="0.2">
      <c r="A255" s="358" t="s">
        <v>289</v>
      </c>
      <c r="B255" s="356" t="s">
        <v>432</v>
      </c>
      <c r="C255" s="357"/>
      <c r="D255" s="420">
        <f>+D256</f>
        <v>5155.3599999999997</v>
      </c>
      <c r="E255" s="420">
        <f t="shared" ref="E255:I255" si="134">+E256</f>
        <v>44.64</v>
      </c>
      <c r="F255" s="420">
        <f t="shared" si="134"/>
        <v>0</v>
      </c>
      <c r="G255" s="420">
        <f t="shared" si="134"/>
        <v>16219.41</v>
      </c>
      <c r="H255" s="384">
        <f t="shared" si="134"/>
        <v>0</v>
      </c>
      <c r="I255" s="400">
        <f t="shared" si="134"/>
        <v>21419.41</v>
      </c>
      <c r="J255" s="354"/>
    </row>
    <row r="256" spans="1:10" x14ac:dyDescent="0.2">
      <c r="A256" s="244" t="s">
        <v>310</v>
      </c>
      <c r="B256" s="264" t="s">
        <v>311</v>
      </c>
      <c r="C256" s="241"/>
      <c r="D256" s="243">
        <f>+D257</f>
        <v>5155.3599999999997</v>
      </c>
      <c r="E256" s="243">
        <f t="shared" ref="E256:I256" si="135">+E257</f>
        <v>44.64</v>
      </c>
      <c r="F256" s="243">
        <f t="shared" si="135"/>
        <v>0</v>
      </c>
      <c r="G256" s="243">
        <f t="shared" si="135"/>
        <v>16219.41</v>
      </c>
      <c r="H256" s="256">
        <f t="shared" si="135"/>
        <v>0</v>
      </c>
      <c r="I256" s="410">
        <f t="shared" si="135"/>
        <v>21419.41</v>
      </c>
    </row>
    <row r="257" spans="1:9" x14ac:dyDescent="0.2">
      <c r="A257" s="240" t="s">
        <v>99</v>
      </c>
      <c r="B257" s="266" t="s">
        <v>290</v>
      </c>
      <c r="C257" s="241"/>
      <c r="D257" s="243">
        <f>+D259+D262</f>
        <v>5155.3599999999997</v>
      </c>
      <c r="E257" s="243">
        <f t="shared" ref="E257:I257" si="136">+E259+E262</f>
        <v>44.64</v>
      </c>
      <c r="F257" s="243">
        <f t="shared" si="136"/>
        <v>0</v>
      </c>
      <c r="G257" s="243">
        <f t="shared" si="136"/>
        <v>16219.41</v>
      </c>
      <c r="H257" s="243">
        <f t="shared" si="136"/>
        <v>0</v>
      </c>
      <c r="I257" s="344">
        <f t="shared" si="136"/>
        <v>21419.41</v>
      </c>
    </row>
    <row r="258" spans="1:9" x14ac:dyDescent="0.2">
      <c r="A258" s="240"/>
      <c r="B258" s="266"/>
      <c r="C258" s="241"/>
      <c r="D258" s="243"/>
      <c r="E258" s="243"/>
      <c r="F258" s="243"/>
      <c r="G258" s="243"/>
      <c r="H258" s="243"/>
      <c r="I258" s="344"/>
    </row>
    <row r="259" spans="1:9" x14ac:dyDescent="0.2">
      <c r="A259" s="240" t="s">
        <v>602</v>
      </c>
      <c r="B259" s="266" t="s">
        <v>601</v>
      </c>
      <c r="C259" s="241"/>
      <c r="D259" s="243">
        <f>+D260</f>
        <v>2000</v>
      </c>
      <c r="E259" s="243">
        <f t="shared" ref="E259:I259" si="137">+E260</f>
        <v>0</v>
      </c>
      <c r="F259" s="243">
        <f t="shared" si="137"/>
        <v>0</v>
      </c>
      <c r="G259" s="243">
        <f t="shared" si="137"/>
        <v>0</v>
      </c>
      <c r="H259" s="243">
        <f t="shared" si="137"/>
        <v>0</v>
      </c>
      <c r="I259" s="344">
        <f t="shared" si="137"/>
        <v>2000</v>
      </c>
    </row>
    <row r="260" spans="1:9" x14ac:dyDescent="0.2">
      <c r="A260" s="244" t="s">
        <v>612</v>
      </c>
      <c r="B260" s="265" t="s">
        <v>480</v>
      </c>
      <c r="C260" s="241" t="s">
        <v>402</v>
      </c>
      <c r="D260" s="241">
        <v>2000</v>
      </c>
      <c r="E260" s="241"/>
      <c r="F260" s="241"/>
      <c r="G260" s="241"/>
      <c r="H260" s="241"/>
      <c r="I260" s="345">
        <f>+D260+E260+F260+G260+H260</f>
        <v>2000</v>
      </c>
    </row>
    <row r="261" spans="1:9" x14ac:dyDescent="0.2">
      <c r="A261" s="240"/>
      <c r="B261" s="266"/>
      <c r="C261" s="241"/>
      <c r="D261" s="243"/>
      <c r="E261" s="243"/>
      <c r="F261" s="243"/>
      <c r="G261" s="243"/>
      <c r="H261" s="243"/>
      <c r="I261" s="344"/>
    </row>
    <row r="262" spans="1:9" ht="20.399999999999999" x14ac:dyDescent="0.2">
      <c r="A262" s="240" t="s">
        <v>102</v>
      </c>
      <c r="B262" s="264" t="s">
        <v>291</v>
      </c>
      <c r="C262" s="241"/>
      <c r="D262" s="243">
        <f>SUM(D263:D267)</f>
        <v>3155.3599999999997</v>
      </c>
      <c r="E262" s="243">
        <f t="shared" ref="E262:I262" si="138">SUM(E263:E267)</f>
        <v>44.64</v>
      </c>
      <c r="F262" s="243">
        <f t="shared" si="138"/>
        <v>0</v>
      </c>
      <c r="G262" s="243">
        <f t="shared" si="138"/>
        <v>16219.41</v>
      </c>
      <c r="H262" s="243">
        <f t="shared" si="138"/>
        <v>0</v>
      </c>
      <c r="I262" s="344">
        <f t="shared" si="138"/>
        <v>19419.41</v>
      </c>
    </row>
    <row r="263" spans="1:9" ht="20.399999999999999" x14ac:dyDescent="0.2">
      <c r="A263" s="244" t="s">
        <v>383</v>
      </c>
      <c r="B263" s="265" t="s">
        <v>291</v>
      </c>
      <c r="C263" s="241" t="s">
        <v>402</v>
      </c>
      <c r="D263" s="241">
        <v>2000</v>
      </c>
      <c r="E263" s="241"/>
      <c r="F263" s="241"/>
      <c r="G263" s="241"/>
      <c r="H263" s="241"/>
      <c r="I263" s="345">
        <f t="shared" ref="I263:I264" si="139">+D263+E263+F263+G263+H263</f>
        <v>2000</v>
      </c>
    </row>
    <row r="264" spans="1:9" ht="20.399999999999999" x14ac:dyDescent="0.2">
      <c r="A264" s="244" t="s">
        <v>383</v>
      </c>
      <c r="B264" s="265" t="s">
        <v>291</v>
      </c>
      <c r="C264" s="241" t="s">
        <v>402</v>
      </c>
      <c r="D264" s="241">
        <v>1155.3599999999999</v>
      </c>
      <c r="E264" s="241">
        <v>44.64</v>
      </c>
      <c r="F264" s="241"/>
      <c r="G264" s="241"/>
      <c r="H264" s="241"/>
      <c r="I264" s="345">
        <f t="shared" si="139"/>
        <v>1200</v>
      </c>
    </row>
    <row r="265" spans="1:9" x14ac:dyDescent="0.2">
      <c r="A265" s="247"/>
      <c r="B265" s="267"/>
      <c r="C265" s="235"/>
      <c r="D265" s="235"/>
      <c r="E265" s="235"/>
      <c r="F265" s="235"/>
      <c r="G265" s="235"/>
      <c r="H265" s="235"/>
      <c r="I265" s="261"/>
    </row>
    <row r="266" spans="1:9" x14ac:dyDescent="0.2">
      <c r="A266" s="247" t="s">
        <v>613</v>
      </c>
      <c r="B266" s="267" t="s">
        <v>614</v>
      </c>
      <c r="C266" s="235"/>
      <c r="D266" s="235"/>
      <c r="E266" s="235"/>
      <c r="F266" s="235"/>
      <c r="G266" s="235">
        <v>16219.41</v>
      </c>
      <c r="H266" s="235"/>
      <c r="I266" s="261">
        <f>G266</f>
        <v>16219.41</v>
      </c>
    </row>
    <row r="267" spans="1:9" x14ac:dyDescent="0.2">
      <c r="A267" s="260"/>
      <c r="B267" s="260"/>
      <c r="C267" s="260"/>
      <c r="D267" s="430"/>
      <c r="E267" s="430"/>
      <c r="F267" s="430"/>
      <c r="G267" s="430"/>
      <c r="H267" s="260"/>
      <c r="I267" s="260"/>
    </row>
    <row r="268" spans="1:9" x14ac:dyDescent="0.2">
      <c r="A268" s="368" t="s">
        <v>289</v>
      </c>
      <c r="B268" s="368" t="s">
        <v>472</v>
      </c>
      <c r="C268" s="351"/>
      <c r="D268" s="243">
        <f>+D269</f>
        <v>1000</v>
      </c>
      <c r="E268" s="243">
        <f t="shared" ref="E268:I268" si="140">+E269</f>
        <v>0</v>
      </c>
      <c r="F268" s="243">
        <f t="shared" si="140"/>
        <v>0</v>
      </c>
      <c r="G268" s="243">
        <f t="shared" si="140"/>
        <v>0</v>
      </c>
      <c r="H268" s="368">
        <f t="shared" si="140"/>
        <v>0</v>
      </c>
      <c r="I268" s="402">
        <f t="shared" si="140"/>
        <v>1000</v>
      </c>
    </row>
    <row r="269" spans="1:9" x14ac:dyDescent="0.2">
      <c r="A269" s="240" t="s">
        <v>103</v>
      </c>
      <c r="B269" s="264" t="s">
        <v>276</v>
      </c>
      <c r="C269" s="241"/>
      <c r="D269" s="243">
        <f>D270</f>
        <v>1000</v>
      </c>
      <c r="E269" s="243">
        <f t="shared" ref="E269:I269" si="141">E270</f>
        <v>0</v>
      </c>
      <c r="F269" s="243">
        <f t="shared" si="141"/>
        <v>0</v>
      </c>
      <c r="G269" s="243">
        <f t="shared" si="141"/>
        <v>0</v>
      </c>
      <c r="H269" s="243">
        <f t="shared" si="141"/>
        <v>0</v>
      </c>
      <c r="I269" s="344">
        <f t="shared" si="141"/>
        <v>1000</v>
      </c>
    </row>
    <row r="270" spans="1:9" ht="30.6" x14ac:dyDescent="0.2">
      <c r="A270" s="244" t="s">
        <v>297</v>
      </c>
      <c r="B270" s="265" t="s">
        <v>317</v>
      </c>
      <c r="C270" s="234" t="s">
        <v>402</v>
      </c>
      <c r="D270" s="241">
        <v>1000</v>
      </c>
      <c r="E270" s="241"/>
      <c r="F270" s="241"/>
      <c r="G270" s="241"/>
      <c r="H270" s="241"/>
      <c r="I270" s="345">
        <f t="shared" ref="I270:I276" si="142">+D270+E270+F270+G270+H270</f>
        <v>1000</v>
      </c>
    </row>
    <row r="271" spans="1:9" x14ac:dyDescent="0.2">
      <c r="A271" s="244"/>
      <c r="B271" s="265"/>
      <c r="C271" s="234"/>
      <c r="D271" s="241"/>
      <c r="E271" s="241"/>
      <c r="F271" s="241"/>
      <c r="G271" s="241"/>
      <c r="H271" s="241"/>
      <c r="I271" s="345"/>
    </row>
    <row r="272" spans="1:9" x14ac:dyDescent="0.2">
      <c r="A272" s="244"/>
      <c r="B272" s="368" t="s">
        <v>616</v>
      </c>
      <c r="C272" s="351"/>
      <c r="D272" s="243">
        <f>+D273</f>
        <v>39416.080000000002</v>
      </c>
      <c r="E272" s="243">
        <f t="shared" ref="E272:I272" si="143">+E273</f>
        <v>0</v>
      </c>
      <c r="F272" s="243">
        <f t="shared" si="143"/>
        <v>0</v>
      </c>
      <c r="G272" s="243">
        <f t="shared" si="143"/>
        <v>0</v>
      </c>
      <c r="H272" s="368">
        <f t="shared" si="143"/>
        <v>0</v>
      </c>
      <c r="I272" s="402">
        <f t="shared" si="143"/>
        <v>39416.080000000002</v>
      </c>
    </row>
    <row r="273" spans="1:9" x14ac:dyDescent="0.2">
      <c r="A273" s="244"/>
      <c r="B273" s="264" t="s">
        <v>276</v>
      </c>
      <c r="C273" s="241"/>
      <c r="D273" s="243">
        <f>D274</f>
        <v>39416.080000000002</v>
      </c>
      <c r="E273" s="243">
        <f t="shared" ref="E273:I273" si="144">E274</f>
        <v>0</v>
      </c>
      <c r="F273" s="243">
        <f t="shared" si="144"/>
        <v>0</v>
      </c>
      <c r="G273" s="243">
        <f t="shared" si="144"/>
        <v>0</v>
      </c>
      <c r="H273" s="243">
        <f t="shared" si="144"/>
        <v>0</v>
      </c>
      <c r="I273" s="344">
        <f t="shared" si="144"/>
        <v>39416.080000000002</v>
      </c>
    </row>
    <row r="274" spans="1:9" x14ac:dyDescent="0.2">
      <c r="A274" s="244">
        <v>970101</v>
      </c>
      <c r="B274" s="265" t="s">
        <v>615</v>
      </c>
      <c r="C274" s="234" t="s">
        <v>402</v>
      </c>
      <c r="D274" s="241">
        <f>D275</f>
        <v>39416.080000000002</v>
      </c>
      <c r="E274" s="241"/>
      <c r="F274" s="241"/>
      <c r="G274" s="241"/>
      <c r="H274" s="241"/>
      <c r="I274" s="345">
        <f t="shared" ref="I274" si="145">+D274+E274+F274+G274+H274</f>
        <v>39416.080000000002</v>
      </c>
    </row>
    <row r="275" spans="1:9" x14ac:dyDescent="0.2">
      <c r="A275" s="244"/>
      <c r="B275" s="265"/>
      <c r="C275" s="234"/>
      <c r="D275" s="241">
        <v>39416.080000000002</v>
      </c>
      <c r="E275" s="241"/>
      <c r="F275" s="241"/>
      <c r="G275" s="241"/>
      <c r="H275" s="241"/>
      <c r="I275" s="345"/>
    </row>
    <row r="276" spans="1:9" x14ac:dyDescent="0.2">
      <c r="A276" s="240"/>
      <c r="B276" s="264"/>
      <c r="C276" s="241"/>
      <c r="D276" s="241"/>
      <c r="E276" s="241"/>
      <c r="F276" s="241"/>
      <c r="G276" s="241"/>
      <c r="H276" s="241"/>
      <c r="I276" s="345">
        <f t="shared" si="142"/>
        <v>0</v>
      </c>
    </row>
    <row r="277" spans="1:9" ht="13.2" x14ac:dyDescent="0.25">
      <c r="A277" s="247"/>
      <c r="B277" s="267"/>
      <c r="C277" s="235"/>
      <c r="D277" s="349">
        <f>+D5+D65+D72+D81+D113+D141+D165+D181+D196+D214+D255+D268</f>
        <v>256340.106</v>
      </c>
      <c r="E277" s="349">
        <f>+E5+E65+E72+E81+E113+E141+E165+E181+E196+E214+E255+E268</f>
        <v>-821</v>
      </c>
      <c r="F277" s="349">
        <f>+F5+F65+F72+F81+F113+F141+F165+F181+F196+F214+F255+F268</f>
        <v>-18450.269999999997</v>
      </c>
      <c r="G277" s="349">
        <f>+G5+G65+G72+G81+G113+G141+G165+G181+G196+G214+G255+G268</f>
        <v>16219.41</v>
      </c>
      <c r="H277" s="349">
        <f>+H5+H65+H72+H81+H113+H141+H165+H181+H196+H214+H255+H268</f>
        <v>0</v>
      </c>
      <c r="I277" s="417">
        <f>+I5+I65+I72+I81+I113+I141+I165+I181+I196+I214+I234+I255+I268+I274</f>
        <v>305946.80600000004</v>
      </c>
    </row>
    <row r="278" spans="1:9" x14ac:dyDescent="0.2">
      <c r="A278" s="247"/>
      <c r="B278" s="267" t="s">
        <v>413</v>
      </c>
      <c r="C278" s="246"/>
      <c r="D278" s="430"/>
      <c r="E278" s="430"/>
      <c r="F278" s="430"/>
      <c r="G278" s="430"/>
      <c r="H278" s="260"/>
      <c r="I278" s="418"/>
    </row>
    <row r="279" spans="1:9" x14ac:dyDescent="0.2">
      <c r="A279" s="236"/>
      <c r="B279" s="270"/>
      <c r="C279" s="235"/>
      <c r="D279" s="430"/>
      <c r="E279" s="430"/>
      <c r="F279" s="430"/>
      <c r="G279" s="430"/>
      <c r="H279" s="260"/>
    </row>
    <row r="280" spans="1:9" x14ac:dyDescent="0.2">
      <c r="A280" s="247"/>
      <c r="B280" s="267" t="s">
        <v>593</v>
      </c>
      <c r="C280" s="254"/>
      <c r="D280" s="235" t="s">
        <v>594</v>
      </c>
      <c r="E280" s="235"/>
      <c r="F280" s="235"/>
      <c r="G280" s="235"/>
      <c r="H280" s="235"/>
    </row>
    <row r="281" spans="1:9" x14ac:dyDescent="0.2">
      <c r="A281" s="247"/>
      <c r="B281" s="267" t="s">
        <v>181</v>
      </c>
      <c r="C281" s="235"/>
      <c r="D281" s="246" t="s">
        <v>595</v>
      </c>
      <c r="E281" s="246"/>
      <c r="F281" s="246"/>
      <c r="G281" s="246"/>
      <c r="H281" s="236"/>
    </row>
    <row r="282" spans="1:9" x14ac:dyDescent="0.2">
      <c r="A282" s="247"/>
      <c r="B282" s="267"/>
      <c r="C282" s="236"/>
      <c r="D282" s="235"/>
      <c r="E282" s="235"/>
      <c r="F282" s="235"/>
      <c r="G282" s="235"/>
      <c r="H282" s="235"/>
      <c r="I282" s="262">
        <f>+INGRESOS!N49</f>
        <v>305946.81</v>
      </c>
    </row>
    <row r="283" spans="1:9" x14ac:dyDescent="0.2">
      <c r="C283" s="260"/>
      <c r="I283" s="262">
        <f>I277-I282</f>
        <v>-3.9999999571591616E-3</v>
      </c>
    </row>
    <row r="284" spans="1:9" x14ac:dyDescent="0.2">
      <c r="C284" s="260"/>
    </row>
    <row r="293" spans="1:1" x14ac:dyDescent="0.2">
      <c r="A293" s="259" t="s">
        <v>473</v>
      </c>
    </row>
  </sheetData>
  <mergeCells count="2">
    <mergeCell ref="B2:I2"/>
    <mergeCell ref="A1:I1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Header>&amp;CPRESUPUESTO 2022</oddHeader>
  </headerFooter>
  <rowBreaks count="1" manualBreakCount="1">
    <brk id="182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A24" zoomScale="80" zoomScaleNormal="80" workbookViewId="0">
      <selection activeCell="J39" sqref="J39"/>
    </sheetView>
  </sheetViews>
  <sheetFormatPr baseColWidth="10" defaultColWidth="11.44140625" defaultRowHeight="13.8" x14ac:dyDescent="0.25"/>
  <cols>
    <col min="1" max="1" width="2.5546875" style="1" customWidth="1"/>
    <col min="2" max="2" width="33.33203125" style="1" customWidth="1"/>
    <col min="3" max="3" width="23.44140625" style="1" customWidth="1"/>
    <col min="4" max="4" width="13.88671875" style="4" customWidth="1"/>
    <col min="5" max="5" width="15.44140625" style="4" customWidth="1"/>
    <col min="6" max="6" width="15" style="4" customWidth="1"/>
    <col min="7" max="7" width="13.88671875" style="4" customWidth="1"/>
    <col min="8" max="9" width="13.6640625" style="4" customWidth="1"/>
    <col min="10" max="10" width="16.6640625" style="4" customWidth="1"/>
    <col min="11" max="11" width="0" style="4" hidden="1" customWidth="1"/>
    <col min="12" max="12" width="13.6640625" style="4" customWidth="1"/>
    <col min="13" max="13" width="0.33203125" style="4" customWidth="1"/>
    <col min="14" max="14" width="13.109375" style="4" customWidth="1"/>
    <col min="15" max="15" width="15" style="4" customWidth="1"/>
    <col min="16" max="16" width="0.33203125" style="4" customWidth="1"/>
    <col min="17" max="17" width="14.5546875" style="4" customWidth="1"/>
    <col min="18" max="18" width="16.5546875" style="4" customWidth="1"/>
    <col min="19" max="19" width="11.44140625" style="4"/>
    <col min="20" max="20" width="12" style="1" bestFit="1" customWidth="1"/>
    <col min="21" max="16384" width="11.44140625" style="1"/>
  </cols>
  <sheetData>
    <row r="1" spans="2:20" ht="21" x14ac:dyDescent="0.4">
      <c r="B1" s="63" t="s">
        <v>457</v>
      </c>
      <c r="C1" s="63"/>
    </row>
    <row r="2" spans="2:20" ht="21" hidden="1" x14ac:dyDescent="0.4">
      <c r="B2" s="63"/>
      <c r="C2" s="63"/>
    </row>
    <row r="3" spans="2:20" ht="21" hidden="1" x14ac:dyDescent="0.4">
      <c r="B3" s="63"/>
      <c r="C3" s="63"/>
      <c r="D3" s="80"/>
    </row>
    <row r="4" spans="2:20" ht="21" hidden="1" x14ac:dyDescent="0.4">
      <c r="B4" s="63"/>
      <c r="C4" s="63"/>
      <c r="F4" s="80"/>
    </row>
    <row r="5" spans="2:20" ht="21" x14ac:dyDescent="0.4">
      <c r="B5" s="63"/>
      <c r="C5" s="63"/>
    </row>
    <row r="6" spans="2:20" ht="14.4" thickBot="1" x14ac:dyDescent="0.3"/>
    <row r="7" spans="2:20" ht="76.5" customHeight="1" x14ac:dyDescent="0.25">
      <c r="B7" s="46"/>
      <c r="C7" s="45"/>
      <c r="D7" s="43" t="s">
        <v>30</v>
      </c>
      <c r="E7" s="43" t="s">
        <v>29</v>
      </c>
      <c r="F7" s="43" t="s">
        <v>28</v>
      </c>
      <c r="G7" s="43" t="s">
        <v>27</v>
      </c>
      <c r="H7" s="43" t="s">
        <v>26</v>
      </c>
      <c r="I7" s="43" t="s">
        <v>25</v>
      </c>
      <c r="J7" s="44" t="s">
        <v>24</v>
      </c>
      <c r="K7" s="39"/>
      <c r="L7" s="43" t="s">
        <v>265</v>
      </c>
      <c r="M7" s="43" t="s">
        <v>22</v>
      </c>
      <c r="N7" s="43" t="s">
        <v>21</v>
      </c>
      <c r="O7" s="43" t="s">
        <v>20</v>
      </c>
      <c r="P7" s="43" t="s">
        <v>19</v>
      </c>
      <c r="Q7" s="43" t="s">
        <v>38</v>
      </c>
      <c r="R7" s="43" t="s">
        <v>37</v>
      </c>
      <c r="S7" s="39"/>
    </row>
    <row r="8" spans="2:20" ht="14.4" thickBot="1" x14ac:dyDescent="0.3">
      <c r="B8" s="42" t="s">
        <v>36</v>
      </c>
      <c r="C8" s="41"/>
      <c r="D8" s="87">
        <v>0.34065000000000001</v>
      </c>
      <c r="E8" s="38"/>
      <c r="F8" s="38"/>
      <c r="G8" s="38"/>
      <c r="H8" s="38"/>
      <c r="I8" s="85">
        <v>0.1115</v>
      </c>
      <c r="J8" s="40"/>
      <c r="K8" s="39"/>
      <c r="L8" s="38"/>
      <c r="M8" s="38"/>
      <c r="N8" s="38"/>
      <c r="O8" s="38"/>
      <c r="P8" s="38"/>
      <c r="Q8" s="38"/>
      <c r="R8" s="38"/>
      <c r="S8" s="39"/>
    </row>
    <row r="9" spans="2:20" ht="14.4" thickBot="1" x14ac:dyDescent="0.3">
      <c r="B9" s="37" t="s">
        <v>35</v>
      </c>
      <c r="C9" s="36" t="s">
        <v>34</v>
      </c>
      <c r="D9" s="33"/>
      <c r="E9" s="33"/>
      <c r="F9" s="33"/>
      <c r="G9" s="33"/>
      <c r="H9" s="33"/>
      <c r="I9" s="33"/>
      <c r="J9" s="35"/>
      <c r="K9" s="34"/>
      <c r="L9" s="33"/>
      <c r="M9" s="33"/>
      <c r="N9" s="33"/>
      <c r="O9" s="33"/>
      <c r="P9" s="33"/>
      <c r="Q9" s="33"/>
      <c r="R9" s="33"/>
      <c r="S9" s="55"/>
    </row>
    <row r="10" spans="2:20" x14ac:dyDescent="0.25">
      <c r="B10" s="32" t="s">
        <v>18</v>
      </c>
      <c r="C10" s="31" t="s">
        <v>17</v>
      </c>
      <c r="D10" s="60"/>
      <c r="E10" s="60">
        <v>12</v>
      </c>
      <c r="F10" s="60"/>
      <c r="G10" s="60">
        <v>200</v>
      </c>
      <c r="I10" s="60">
        <v>0.11650000000000001</v>
      </c>
      <c r="J10" s="62"/>
      <c r="K10" s="61"/>
      <c r="L10" s="60"/>
      <c r="M10" s="60"/>
      <c r="N10" s="24">
        <f>+D11*8.33%</f>
        <v>83.3</v>
      </c>
      <c r="O10" s="60"/>
      <c r="P10" s="59"/>
      <c r="Q10" s="59"/>
      <c r="R10" s="59"/>
      <c r="S10" s="29"/>
    </row>
    <row r="11" spans="2:20" x14ac:dyDescent="0.25">
      <c r="B11" s="52" t="s">
        <v>538</v>
      </c>
      <c r="C11" s="53" t="s">
        <v>159</v>
      </c>
      <c r="D11" s="16">
        <v>1000</v>
      </c>
      <c r="E11" s="16">
        <f t="shared" ref="E11:E16" si="0">+D11*12</f>
        <v>12000</v>
      </c>
      <c r="F11" s="16">
        <f t="shared" ref="F11:F16" si="1">+D11</f>
        <v>1000</v>
      </c>
      <c r="G11" s="16">
        <f>+$D$12</f>
        <v>425</v>
      </c>
      <c r="H11" s="24">
        <f>+(D11/12)*7.5</f>
        <v>625</v>
      </c>
      <c r="I11" s="16">
        <f t="shared" ref="I11:I16" si="2">+(D11*$I$8)*12</f>
        <v>1338</v>
      </c>
      <c r="J11" s="51">
        <f t="shared" ref="J11:J16" si="3">SUM(E11:I11)</f>
        <v>15388</v>
      </c>
      <c r="K11" s="50"/>
      <c r="L11" s="16"/>
      <c r="M11" s="16"/>
      <c r="N11" s="16"/>
      <c r="O11" s="16"/>
      <c r="P11" s="16">
        <v>4000</v>
      </c>
      <c r="Q11" s="16"/>
      <c r="R11" s="16"/>
      <c r="S11" s="50">
        <f>1100/12</f>
        <v>91.666666666666671</v>
      </c>
      <c r="T11" s="1">
        <f>+S11/2</f>
        <v>45.833333333333336</v>
      </c>
    </row>
    <row r="12" spans="2:20" x14ac:dyDescent="0.25">
      <c r="B12" s="52" t="s">
        <v>539</v>
      </c>
      <c r="C12" s="52" t="s">
        <v>422</v>
      </c>
      <c r="D12" s="16">
        <v>425</v>
      </c>
      <c r="E12" s="16">
        <f t="shared" si="0"/>
        <v>5100</v>
      </c>
      <c r="F12" s="16">
        <f t="shared" si="1"/>
        <v>425</v>
      </c>
      <c r="G12" s="16">
        <f>+G11</f>
        <v>425</v>
      </c>
      <c r="H12" s="16"/>
      <c r="I12" s="16">
        <f t="shared" si="2"/>
        <v>568.65000000000009</v>
      </c>
      <c r="J12" s="51">
        <f t="shared" si="3"/>
        <v>6518.65</v>
      </c>
      <c r="K12" s="50"/>
      <c r="L12" s="16"/>
      <c r="M12" s="16"/>
      <c r="N12" s="16"/>
      <c r="O12" s="16"/>
      <c r="P12" s="16">
        <f t="shared" ref="P12:P17" si="4">50*12</f>
        <v>600</v>
      </c>
      <c r="Q12" s="16"/>
      <c r="R12" s="16"/>
      <c r="S12" s="50">
        <f>+S11*7</f>
        <v>641.66666666666674</v>
      </c>
    </row>
    <row r="13" spans="2:20" x14ac:dyDescent="0.25">
      <c r="B13" s="52" t="s">
        <v>540</v>
      </c>
      <c r="C13" s="52" t="s">
        <v>160</v>
      </c>
      <c r="D13" s="16">
        <f>+D12</f>
        <v>425</v>
      </c>
      <c r="E13" s="16">
        <f t="shared" si="0"/>
        <v>5100</v>
      </c>
      <c r="F13" s="16">
        <f t="shared" si="1"/>
        <v>425</v>
      </c>
      <c r="G13" s="16">
        <f>+G12</f>
        <v>425</v>
      </c>
      <c r="H13" s="16"/>
      <c r="I13" s="16">
        <f t="shared" si="2"/>
        <v>568.65000000000009</v>
      </c>
      <c r="J13" s="51">
        <f t="shared" si="3"/>
        <v>6518.65</v>
      </c>
      <c r="K13" s="50"/>
      <c r="L13" s="16"/>
      <c r="M13" s="16"/>
      <c r="N13" s="16"/>
      <c r="O13" s="16"/>
      <c r="P13" s="16">
        <f t="shared" si="4"/>
        <v>600</v>
      </c>
      <c r="Q13" s="16"/>
      <c r="R13" s="16"/>
      <c r="S13" s="50">
        <f>+S12+T11</f>
        <v>687.50000000000011</v>
      </c>
    </row>
    <row r="14" spans="2:20" x14ac:dyDescent="0.25">
      <c r="B14" s="52" t="s">
        <v>541</v>
      </c>
      <c r="C14" s="52" t="s">
        <v>161</v>
      </c>
      <c r="D14" s="16">
        <f>+D13</f>
        <v>425</v>
      </c>
      <c r="E14" s="16">
        <f t="shared" si="0"/>
        <v>5100</v>
      </c>
      <c r="F14" s="16">
        <f t="shared" si="1"/>
        <v>425</v>
      </c>
      <c r="G14" s="16">
        <f>+G13</f>
        <v>425</v>
      </c>
      <c r="H14" s="24">
        <f>+(D14/12)*7.5</f>
        <v>265.625</v>
      </c>
      <c r="I14" s="16">
        <f t="shared" si="2"/>
        <v>568.65000000000009</v>
      </c>
      <c r="J14" s="51">
        <f t="shared" si="3"/>
        <v>6784.2749999999996</v>
      </c>
      <c r="K14" s="50"/>
      <c r="L14" s="16"/>
      <c r="M14" s="16"/>
      <c r="N14" s="16"/>
      <c r="O14" s="16"/>
      <c r="P14" s="16">
        <f t="shared" si="4"/>
        <v>600</v>
      </c>
      <c r="Q14" s="16"/>
      <c r="R14" s="16"/>
      <c r="S14" s="50"/>
    </row>
    <row r="15" spans="2:20" x14ac:dyDescent="0.25">
      <c r="B15" s="52" t="s">
        <v>542</v>
      </c>
      <c r="C15" s="52" t="s">
        <v>423</v>
      </c>
      <c r="D15" s="16">
        <f>+D14</f>
        <v>425</v>
      </c>
      <c r="E15" s="16">
        <f t="shared" si="0"/>
        <v>5100</v>
      </c>
      <c r="F15" s="16">
        <f t="shared" si="1"/>
        <v>425</v>
      </c>
      <c r="G15" s="16">
        <f>+G14</f>
        <v>425</v>
      </c>
      <c r="H15" s="24"/>
      <c r="I15" s="16">
        <f t="shared" si="2"/>
        <v>568.65000000000009</v>
      </c>
      <c r="J15" s="51">
        <f t="shared" si="3"/>
        <v>6518.65</v>
      </c>
      <c r="K15" s="50"/>
      <c r="L15" s="16"/>
      <c r="M15" s="16"/>
      <c r="N15" s="16"/>
      <c r="O15" s="16"/>
      <c r="P15" s="16">
        <f t="shared" si="4"/>
        <v>600</v>
      </c>
      <c r="Q15" s="16"/>
      <c r="R15" s="16"/>
      <c r="S15" s="50"/>
    </row>
    <row r="16" spans="2:20" x14ac:dyDescent="0.25">
      <c r="B16" s="52" t="s">
        <v>543</v>
      </c>
      <c r="C16" s="52" t="s">
        <v>162</v>
      </c>
      <c r="D16" s="16">
        <v>600</v>
      </c>
      <c r="E16" s="16">
        <f t="shared" si="0"/>
        <v>7200</v>
      </c>
      <c r="F16" s="16">
        <f t="shared" si="1"/>
        <v>600</v>
      </c>
      <c r="G16" s="16">
        <f>+G15</f>
        <v>425</v>
      </c>
      <c r="H16" s="24"/>
      <c r="I16" s="16">
        <f t="shared" si="2"/>
        <v>802.80000000000007</v>
      </c>
      <c r="J16" s="51">
        <f t="shared" si="3"/>
        <v>9027.7999999999993</v>
      </c>
      <c r="K16" s="50"/>
      <c r="L16" s="16"/>
      <c r="M16" s="16"/>
      <c r="N16" s="16"/>
      <c r="O16" s="16"/>
      <c r="P16" s="16">
        <f t="shared" si="4"/>
        <v>600</v>
      </c>
      <c r="Q16" s="16"/>
      <c r="R16" s="16"/>
      <c r="S16" s="50"/>
    </row>
    <row r="17" spans="2:19" ht="14.4" thickBot="1" x14ac:dyDescent="0.3">
      <c r="B17" s="52"/>
      <c r="C17" s="52"/>
      <c r="D17" s="16"/>
      <c r="E17" s="16"/>
      <c r="F17" s="16"/>
      <c r="G17" s="16"/>
      <c r="H17" s="16"/>
      <c r="I17" s="16"/>
      <c r="J17" s="51"/>
      <c r="K17" s="50"/>
      <c r="L17" s="16"/>
      <c r="M17" s="16"/>
      <c r="N17" s="16"/>
      <c r="O17" s="16"/>
      <c r="P17" s="16">
        <f t="shared" si="4"/>
        <v>600</v>
      </c>
      <c r="Q17" s="16"/>
      <c r="R17" s="16"/>
      <c r="S17" s="50"/>
    </row>
    <row r="18" spans="2:19" ht="14.4" thickBot="1" x14ac:dyDescent="0.3">
      <c r="B18" s="52"/>
      <c r="C18" s="27" t="s">
        <v>31</v>
      </c>
      <c r="D18" s="49">
        <f>SUM(D11:D17)</f>
        <v>3300</v>
      </c>
      <c r="E18" s="49">
        <f>SUM(E11:E16)</f>
        <v>39600</v>
      </c>
      <c r="F18" s="49">
        <f>SUM(F11:F17)</f>
        <v>3300</v>
      </c>
      <c r="G18" s="49">
        <f>SUM(G11:G17)</f>
        <v>2550</v>
      </c>
      <c r="H18" s="49">
        <f>SUM(H11:H16)</f>
        <v>890.625</v>
      </c>
      <c r="I18" s="49">
        <f>SUM(I11:I17)</f>
        <v>4415.4000000000005</v>
      </c>
      <c r="J18" s="49">
        <f>SUM(J11:J17)</f>
        <v>50756.025000000009</v>
      </c>
      <c r="K18" s="25"/>
      <c r="L18" s="49">
        <f>SUM(L11:L17)</f>
        <v>0</v>
      </c>
      <c r="M18" s="49">
        <f>SUM(M11:M17)</f>
        <v>0</v>
      </c>
      <c r="N18" s="49">
        <f>SUM(N11:N17)</f>
        <v>0</v>
      </c>
      <c r="O18" s="49">
        <f>SUM(O11:O17)</f>
        <v>0</v>
      </c>
      <c r="P18" s="49">
        <f>SUM(P11:P17)</f>
        <v>7600</v>
      </c>
      <c r="Q18" s="49"/>
      <c r="R18" s="49"/>
      <c r="S18" s="48"/>
    </row>
    <row r="19" spans="2:19" ht="14.4" thickBot="1" x14ac:dyDescent="0.3">
      <c r="B19" s="37" t="s">
        <v>495</v>
      </c>
      <c r="C19" s="36"/>
      <c r="D19" s="33"/>
      <c r="E19" s="33"/>
      <c r="F19" s="33"/>
      <c r="G19" s="33"/>
      <c r="H19" s="33"/>
      <c r="I19" s="33"/>
      <c r="J19" s="35"/>
      <c r="K19" s="34"/>
      <c r="L19" s="33"/>
      <c r="M19" s="33"/>
      <c r="N19" s="33"/>
      <c r="O19" s="33"/>
      <c r="P19" s="33"/>
      <c r="Q19" s="33"/>
      <c r="R19" s="33"/>
      <c r="S19" s="55"/>
    </row>
    <row r="20" spans="2:19" x14ac:dyDescent="0.25">
      <c r="B20" s="32" t="s">
        <v>18</v>
      </c>
      <c r="C20" s="31" t="s">
        <v>17</v>
      </c>
      <c r="D20" s="24"/>
      <c r="E20" s="24"/>
      <c r="F20" s="24"/>
      <c r="G20" s="24"/>
      <c r="H20" s="24"/>
      <c r="I20" s="24"/>
      <c r="J20" s="30"/>
      <c r="K20" s="29"/>
      <c r="L20" s="24"/>
      <c r="M20" s="24"/>
      <c r="N20" s="24"/>
      <c r="O20" s="24"/>
      <c r="P20" s="24"/>
      <c r="Q20" s="24"/>
      <c r="R20" s="24"/>
      <c r="S20" s="29"/>
    </row>
    <row r="21" spans="2:19" x14ac:dyDescent="0.25">
      <c r="B21" s="52" t="s">
        <v>583</v>
      </c>
      <c r="C21" s="53" t="s">
        <v>584</v>
      </c>
      <c r="D21" s="16">
        <v>670</v>
      </c>
      <c r="E21" s="16">
        <f>D21*12</f>
        <v>8040</v>
      </c>
      <c r="F21" s="16">
        <f>(D21/12)*12</f>
        <v>670</v>
      </c>
      <c r="G21" s="16">
        <f>(450/12)*12</f>
        <v>450</v>
      </c>
      <c r="H21" s="16">
        <f>+D21</f>
        <v>670</v>
      </c>
      <c r="I21" s="16">
        <f>+(D21*$I$8)*12</f>
        <v>896.46</v>
      </c>
      <c r="J21" s="51">
        <f>SUM(E21:I21)</f>
        <v>10726.46</v>
      </c>
      <c r="K21" s="50"/>
      <c r="L21" s="16"/>
      <c r="M21" s="16"/>
      <c r="N21" s="16"/>
      <c r="O21" s="16"/>
      <c r="P21" s="16"/>
      <c r="Q21" s="16"/>
      <c r="R21" s="16"/>
      <c r="S21" s="50"/>
    </row>
    <row r="22" spans="2:19" x14ac:dyDescent="0.25">
      <c r="B22" s="52"/>
      <c r="C22" s="53"/>
      <c r="D22" s="16"/>
      <c r="E22" s="16"/>
      <c r="F22" s="16"/>
      <c r="G22" s="16"/>
      <c r="H22" s="16"/>
      <c r="I22" s="16"/>
      <c r="J22" s="51"/>
      <c r="K22" s="50"/>
      <c r="L22" s="16"/>
      <c r="M22" s="16"/>
      <c r="N22" s="16"/>
      <c r="O22" s="16"/>
      <c r="P22" s="16"/>
      <c r="Q22" s="16"/>
      <c r="R22" s="16"/>
      <c r="S22" s="50"/>
    </row>
    <row r="23" spans="2:19" x14ac:dyDescent="0.25">
      <c r="B23" s="52"/>
      <c r="C23" s="53"/>
      <c r="D23" s="16"/>
      <c r="E23" s="16"/>
      <c r="F23" s="16"/>
      <c r="G23" s="16"/>
      <c r="H23" s="16"/>
      <c r="I23" s="16"/>
      <c r="J23" s="51"/>
      <c r="K23" s="50"/>
      <c r="L23" s="16"/>
      <c r="M23" s="16"/>
      <c r="N23" s="16"/>
      <c r="O23" s="16"/>
      <c r="P23" s="16"/>
      <c r="Q23" s="16"/>
      <c r="R23" s="16"/>
      <c r="S23" s="50"/>
    </row>
    <row r="24" spans="2:19" x14ac:dyDescent="0.25">
      <c r="B24" s="52"/>
      <c r="C24" s="53"/>
      <c r="D24" s="16"/>
      <c r="E24" s="16"/>
      <c r="F24" s="16"/>
      <c r="G24" s="16"/>
      <c r="H24" s="16"/>
      <c r="I24" s="16"/>
      <c r="J24" s="51"/>
      <c r="K24" s="50"/>
      <c r="L24" s="16"/>
      <c r="M24" s="16"/>
      <c r="N24" s="16"/>
      <c r="O24" s="16"/>
      <c r="P24" s="16"/>
      <c r="Q24" s="16"/>
      <c r="R24" s="16"/>
      <c r="S24" s="50"/>
    </row>
    <row r="25" spans="2:19" x14ac:dyDescent="0.25">
      <c r="B25" s="52"/>
      <c r="C25" s="53"/>
      <c r="D25" s="16"/>
      <c r="E25" s="16"/>
      <c r="F25" s="16"/>
      <c r="G25" s="16"/>
      <c r="H25" s="16"/>
      <c r="I25" s="16"/>
      <c r="J25" s="51"/>
      <c r="K25" s="50"/>
      <c r="L25" s="16"/>
      <c r="M25" s="16"/>
      <c r="N25" s="16"/>
      <c r="O25" s="16"/>
      <c r="P25" s="16"/>
      <c r="Q25" s="16"/>
      <c r="R25" s="16"/>
      <c r="S25" s="50"/>
    </row>
    <row r="26" spans="2:19" x14ac:dyDescent="0.25">
      <c r="B26" s="52"/>
      <c r="C26" s="53"/>
      <c r="D26" s="16"/>
      <c r="E26" s="16"/>
      <c r="F26" s="16"/>
      <c r="G26" s="16"/>
      <c r="H26" s="16"/>
      <c r="I26" s="16"/>
      <c r="J26" s="51"/>
      <c r="K26" s="50"/>
      <c r="L26" s="16"/>
      <c r="M26" s="16"/>
      <c r="N26" s="16"/>
      <c r="O26" s="16"/>
      <c r="P26" s="16"/>
      <c r="Q26" s="16"/>
      <c r="R26" s="16"/>
      <c r="S26" s="50"/>
    </row>
    <row r="27" spans="2:19" ht="14.4" thickBot="1" x14ac:dyDescent="0.3">
      <c r="B27" s="52"/>
      <c r="C27" s="53"/>
      <c r="D27" s="16"/>
      <c r="E27" s="16"/>
      <c r="F27" s="16"/>
      <c r="G27" s="16"/>
      <c r="H27" s="16"/>
      <c r="I27" s="16"/>
      <c r="J27" s="51"/>
      <c r="K27" s="50"/>
      <c r="L27" s="16"/>
      <c r="M27" s="16"/>
      <c r="N27" s="16"/>
      <c r="O27" s="16"/>
      <c r="P27" s="16"/>
      <c r="Q27" s="16"/>
      <c r="R27" s="16"/>
      <c r="S27" s="50"/>
    </row>
    <row r="28" spans="2:19" ht="14.4" thickBot="1" x14ac:dyDescent="0.3">
      <c r="B28" s="28"/>
      <c r="C28" s="27" t="s">
        <v>31</v>
      </c>
      <c r="D28" s="49">
        <f t="shared" ref="D28:J28" si="5">SUM(D21:D27)</f>
        <v>670</v>
      </c>
      <c r="E28" s="49">
        <f t="shared" si="5"/>
        <v>8040</v>
      </c>
      <c r="F28" s="49">
        <f t="shared" si="5"/>
        <v>670</v>
      </c>
      <c r="G28" s="49">
        <f t="shared" si="5"/>
        <v>450</v>
      </c>
      <c r="H28" s="49">
        <f t="shared" si="5"/>
        <v>670</v>
      </c>
      <c r="I28" s="49">
        <f t="shared" si="5"/>
        <v>896.46</v>
      </c>
      <c r="J28" s="49">
        <f t="shared" si="5"/>
        <v>10726.46</v>
      </c>
      <c r="K28" s="25"/>
      <c r="L28" s="49">
        <f>SUM(L22:L27)</f>
        <v>0</v>
      </c>
      <c r="M28" s="49">
        <f>SUM(M21:M27)</f>
        <v>0</v>
      </c>
      <c r="N28" s="49">
        <f>SUM(N21:N27)</f>
        <v>0</v>
      </c>
      <c r="O28" s="49">
        <f>SUM(O21:O27)</f>
        <v>0</v>
      </c>
      <c r="P28" s="49">
        <f>SUM(P21:P27)</f>
        <v>0</v>
      </c>
      <c r="Q28" s="49"/>
      <c r="R28" s="49"/>
      <c r="S28" s="48"/>
    </row>
    <row r="29" spans="2:19" ht="14.4" thickBot="1" x14ac:dyDescent="0.3">
      <c r="B29" s="37" t="s">
        <v>33</v>
      </c>
      <c r="C29" s="36"/>
      <c r="D29" s="33"/>
      <c r="E29" s="33"/>
      <c r="F29" s="33"/>
      <c r="G29" s="33"/>
      <c r="H29" s="33"/>
      <c r="I29" s="33"/>
      <c r="J29" s="35"/>
      <c r="K29" s="34"/>
      <c r="L29" s="33"/>
      <c r="M29" s="33"/>
      <c r="N29" s="33"/>
      <c r="O29" s="33"/>
      <c r="P29" s="33"/>
      <c r="Q29" s="33"/>
      <c r="R29" s="33"/>
      <c r="S29" s="55"/>
    </row>
    <row r="30" spans="2:19" x14ac:dyDescent="0.25">
      <c r="B30" s="32" t="s">
        <v>18</v>
      </c>
      <c r="C30" s="31" t="s">
        <v>17</v>
      </c>
      <c r="D30" s="24"/>
      <c r="E30" s="24"/>
      <c r="F30" s="24"/>
      <c r="G30" s="24"/>
      <c r="H30" s="24"/>
      <c r="I30" s="24"/>
      <c r="J30" s="30"/>
      <c r="K30" s="29"/>
      <c r="L30" s="24"/>
      <c r="M30" s="24"/>
      <c r="N30" s="24"/>
      <c r="O30" s="24"/>
      <c r="P30" s="24"/>
      <c r="Q30" s="24"/>
      <c r="R30" s="24"/>
      <c r="S30" s="29"/>
    </row>
    <row r="31" spans="2:19" ht="14.4" thickBot="1" x14ac:dyDescent="0.3">
      <c r="B31" s="52" t="s">
        <v>528</v>
      </c>
      <c r="C31" s="53" t="s">
        <v>479</v>
      </c>
      <c r="D31" s="16">
        <v>817</v>
      </c>
      <c r="E31" s="16">
        <f>D31*12</f>
        <v>9804</v>
      </c>
      <c r="F31" s="16">
        <f>(817/12)*12</f>
        <v>817</v>
      </c>
      <c r="G31" s="16">
        <f>(450/12)*12</f>
        <v>450</v>
      </c>
      <c r="H31" s="16">
        <f>+D31</f>
        <v>817</v>
      </c>
      <c r="I31" s="16">
        <f>+(D31*$I$8)*12</f>
        <v>1093.146</v>
      </c>
      <c r="J31" s="51">
        <f>SUM(E31:I31)</f>
        <v>12981.146000000001</v>
      </c>
      <c r="K31" s="50"/>
      <c r="L31" s="16"/>
      <c r="M31" s="16"/>
      <c r="N31" s="16"/>
      <c r="O31" s="16"/>
      <c r="P31" s="16"/>
      <c r="Q31" s="16"/>
      <c r="R31" s="16"/>
      <c r="S31" s="50"/>
    </row>
    <row r="32" spans="2:19" ht="14.4" thickBot="1" x14ac:dyDescent="0.3">
      <c r="B32" s="28"/>
      <c r="C32" s="27" t="s">
        <v>31</v>
      </c>
      <c r="D32" s="49"/>
      <c r="E32" s="49">
        <f t="shared" ref="E32:J32" si="6">SUM(E31)</f>
        <v>9804</v>
      </c>
      <c r="F32" s="49">
        <f t="shared" si="6"/>
        <v>817</v>
      </c>
      <c r="G32" s="49">
        <f t="shared" si="6"/>
        <v>450</v>
      </c>
      <c r="H32" s="49">
        <f t="shared" si="6"/>
        <v>817</v>
      </c>
      <c r="I32" s="49">
        <f t="shared" si="6"/>
        <v>1093.146</v>
      </c>
      <c r="J32" s="26">
        <f t="shared" si="6"/>
        <v>12981.146000000001</v>
      </c>
      <c r="K32" s="58"/>
      <c r="L32" s="49"/>
      <c r="M32" s="49">
        <v>200</v>
      </c>
      <c r="N32" s="49">
        <f>+N31</f>
        <v>0</v>
      </c>
      <c r="O32" s="49">
        <f>+O31</f>
        <v>0</v>
      </c>
      <c r="P32" s="49">
        <f>+P31</f>
        <v>0</v>
      </c>
      <c r="Q32" s="49"/>
      <c r="R32" s="49"/>
      <c r="S32" s="48"/>
    </row>
    <row r="33" spans="2:19" ht="14.4" thickBot="1" x14ac:dyDescent="0.3">
      <c r="B33" s="47"/>
      <c r="C33" s="22" t="s">
        <v>16</v>
      </c>
      <c r="D33" s="19"/>
      <c r="E33" s="19">
        <f t="shared" ref="E33:J33" si="7">+E32+E28+E18</f>
        <v>57444</v>
      </c>
      <c r="F33" s="19">
        <f>+F32+F28+F18</f>
        <v>4787</v>
      </c>
      <c r="G33" s="19">
        <f t="shared" si="7"/>
        <v>3450</v>
      </c>
      <c r="H33" s="19">
        <f>+H32+H28+H18</f>
        <v>2377.625</v>
      </c>
      <c r="I33" s="19">
        <f t="shared" si="7"/>
        <v>6405.0060000000003</v>
      </c>
      <c r="J33" s="21">
        <f t="shared" si="7"/>
        <v>74463.631000000008</v>
      </c>
      <c r="K33" s="20"/>
      <c r="L33" s="21">
        <f>+L32+L28+L18</f>
        <v>0</v>
      </c>
      <c r="M33" s="21">
        <f>+M32+M28+M18</f>
        <v>200</v>
      </c>
      <c r="N33" s="21">
        <f>+N32+N28+N18</f>
        <v>0</v>
      </c>
      <c r="O33" s="21">
        <f>+O32+O28+O18</f>
        <v>0</v>
      </c>
      <c r="P33" s="21">
        <f>+P32+P28+P18</f>
        <v>7600</v>
      </c>
      <c r="Q33" s="19"/>
      <c r="R33" s="19"/>
      <c r="S33" s="15"/>
    </row>
    <row r="34" spans="2:19" ht="14.4" thickBot="1" x14ac:dyDescent="0.3">
      <c r="B34" s="56"/>
      <c r="C34" s="56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 ht="73.5" customHeight="1" x14ac:dyDescent="0.25">
      <c r="B35" s="46"/>
      <c r="C35" s="45"/>
      <c r="D35" s="43"/>
      <c r="E35" s="43" t="s">
        <v>29</v>
      </c>
      <c r="F35" s="43" t="s">
        <v>28</v>
      </c>
      <c r="G35" s="43" t="s">
        <v>27</v>
      </c>
      <c r="H35" s="43" t="s">
        <v>26</v>
      </c>
      <c r="I35" s="43" t="s">
        <v>25</v>
      </c>
      <c r="J35" s="44" t="s">
        <v>24</v>
      </c>
      <c r="K35" s="39"/>
      <c r="L35" s="43" t="s">
        <v>23</v>
      </c>
      <c r="M35" s="43" t="s">
        <v>22</v>
      </c>
      <c r="N35" s="43" t="s">
        <v>21</v>
      </c>
      <c r="O35" s="43" t="s">
        <v>20</v>
      </c>
      <c r="P35" s="43" t="s">
        <v>19</v>
      </c>
      <c r="Q35" s="43"/>
      <c r="R35" s="43"/>
      <c r="S35" s="39"/>
    </row>
    <row r="36" spans="2:19" ht="14.4" thickBot="1" x14ac:dyDescent="0.3">
      <c r="B36" s="42" t="s">
        <v>164</v>
      </c>
      <c r="C36" s="41"/>
      <c r="D36" s="38"/>
      <c r="E36" s="38"/>
      <c r="F36" s="38"/>
      <c r="G36" s="38"/>
      <c r="H36" s="38"/>
      <c r="I36" s="38"/>
      <c r="J36" s="40"/>
      <c r="K36" s="39"/>
      <c r="L36" s="38"/>
      <c r="M36" s="38"/>
      <c r="N36" s="38"/>
      <c r="O36" s="38"/>
      <c r="P36" s="38"/>
      <c r="Q36" s="38"/>
      <c r="R36" s="38"/>
      <c r="S36" s="39"/>
    </row>
    <row r="37" spans="2:19" ht="14.4" thickBot="1" x14ac:dyDescent="0.3">
      <c r="B37" s="37" t="s">
        <v>32</v>
      </c>
      <c r="C37" s="36"/>
      <c r="D37" s="33"/>
      <c r="E37" s="33"/>
      <c r="F37" s="33"/>
      <c r="G37" s="33"/>
      <c r="H37" s="33"/>
      <c r="I37" s="33"/>
      <c r="J37" s="35"/>
      <c r="K37" s="34"/>
      <c r="L37" s="33"/>
      <c r="M37" s="33"/>
      <c r="N37" s="33"/>
      <c r="O37" s="33"/>
      <c r="P37" s="33"/>
      <c r="Q37" s="33"/>
      <c r="R37" s="33"/>
      <c r="S37" s="55"/>
    </row>
    <row r="38" spans="2:19" x14ac:dyDescent="0.25">
      <c r="B38" s="32" t="s">
        <v>18</v>
      </c>
      <c r="C38" s="31" t="s">
        <v>17</v>
      </c>
      <c r="D38" s="24"/>
      <c r="E38" s="24"/>
      <c r="F38" s="24"/>
      <c r="G38" s="24"/>
      <c r="H38" s="24"/>
      <c r="I38" s="24"/>
      <c r="J38" s="30"/>
      <c r="K38" s="29"/>
      <c r="L38" s="24"/>
      <c r="M38" s="24"/>
      <c r="N38" s="24"/>
      <c r="O38" s="24"/>
      <c r="P38" s="24"/>
      <c r="Q38" s="24"/>
      <c r="R38" s="24"/>
      <c r="S38" s="29"/>
    </row>
    <row r="39" spans="2:19" x14ac:dyDescent="0.25">
      <c r="B39" s="52" t="s">
        <v>585</v>
      </c>
      <c r="C39" s="53" t="s">
        <v>72</v>
      </c>
      <c r="D39" s="16">
        <v>450</v>
      </c>
      <c r="E39" s="16">
        <f>D39*12</f>
        <v>5400</v>
      </c>
      <c r="F39" s="16">
        <f>(D39/12)*12</f>
        <v>450</v>
      </c>
      <c r="G39" s="16">
        <f>(450/12)*12</f>
        <v>450</v>
      </c>
      <c r="H39" s="16"/>
      <c r="I39" s="16">
        <f>+(D39*$I$8)*12</f>
        <v>602.1</v>
      </c>
      <c r="J39" s="51">
        <f>SUM(E39:I39)</f>
        <v>6902.1</v>
      </c>
      <c r="K39" s="50"/>
      <c r="L39" s="16"/>
      <c r="M39" s="16"/>
      <c r="N39" s="16"/>
      <c r="O39" s="16"/>
      <c r="P39" s="16"/>
      <c r="Q39" s="16"/>
      <c r="R39" s="16"/>
      <c r="S39" s="50"/>
    </row>
    <row r="40" spans="2:19" x14ac:dyDescent="0.25">
      <c r="B40" s="52"/>
      <c r="C40" s="69"/>
      <c r="D40" s="70"/>
      <c r="E40" s="16"/>
      <c r="F40" s="16"/>
      <c r="G40" s="16"/>
      <c r="H40" s="16"/>
      <c r="I40" s="16"/>
      <c r="J40" s="51"/>
      <c r="K40" s="50"/>
      <c r="L40" s="16"/>
      <c r="M40" s="16"/>
      <c r="N40" s="16"/>
      <c r="O40" s="16"/>
      <c r="P40" s="16"/>
      <c r="Q40" s="16"/>
      <c r="R40" s="16"/>
      <c r="S40" s="50"/>
    </row>
    <row r="41" spans="2:19" ht="14.4" thickBot="1" x14ac:dyDescent="0.3">
      <c r="B41" s="52"/>
      <c r="C41" s="53"/>
      <c r="D41" s="16"/>
      <c r="E41" s="16"/>
      <c r="F41" s="16"/>
      <c r="G41" s="16"/>
      <c r="H41" s="16"/>
      <c r="I41" s="16"/>
      <c r="J41" s="54"/>
      <c r="K41" s="50"/>
      <c r="L41" s="16"/>
      <c r="M41" s="16"/>
      <c r="N41" s="16"/>
      <c r="O41" s="16"/>
      <c r="P41" s="16"/>
      <c r="Q41" s="16"/>
      <c r="R41" s="16"/>
      <c r="S41" s="50"/>
    </row>
    <row r="42" spans="2:19" ht="14.4" thickBot="1" x14ac:dyDescent="0.3">
      <c r="B42" s="28"/>
      <c r="C42" s="27" t="s">
        <v>31</v>
      </c>
      <c r="D42" s="24"/>
      <c r="E42" s="24">
        <f t="shared" ref="E42:J42" si="8">SUM(E39:E40)</f>
        <v>5400</v>
      </c>
      <c r="F42" s="24">
        <f t="shared" si="8"/>
        <v>450</v>
      </c>
      <c r="G42" s="24">
        <f t="shared" si="8"/>
        <v>450</v>
      </c>
      <c r="H42" s="24">
        <f t="shared" si="8"/>
        <v>0</v>
      </c>
      <c r="I42" s="24">
        <f t="shared" si="8"/>
        <v>602.1</v>
      </c>
      <c r="J42" s="24">
        <f t="shared" si="8"/>
        <v>6902.1</v>
      </c>
      <c r="K42" s="25"/>
      <c r="L42" s="24">
        <f>SUM(L39:L39)</f>
        <v>0</v>
      </c>
      <c r="M42" s="24">
        <f>SUM(M39:M39)</f>
        <v>0</v>
      </c>
      <c r="N42" s="24">
        <f>SUM(N39:N39)</f>
        <v>0</v>
      </c>
      <c r="O42" s="24">
        <f>SUM(O39:O39)</f>
        <v>0</v>
      </c>
      <c r="P42" s="24">
        <f>SUM(P39:P40)</f>
        <v>0</v>
      </c>
      <c r="Q42" s="24"/>
      <c r="R42" s="24"/>
      <c r="S42" s="48"/>
    </row>
    <row r="43" spans="2:19" ht="14.4" thickBot="1" x14ac:dyDescent="0.3">
      <c r="B43" s="23"/>
      <c r="C43" s="22" t="s">
        <v>16</v>
      </c>
      <c r="D43" s="19"/>
      <c r="E43" s="19">
        <f t="shared" ref="E43:J43" si="9">+E42</f>
        <v>5400</v>
      </c>
      <c r="F43" s="19">
        <f t="shared" si="9"/>
        <v>450</v>
      </c>
      <c r="G43" s="19">
        <f t="shared" si="9"/>
        <v>450</v>
      </c>
      <c r="H43" s="19">
        <f t="shared" si="9"/>
        <v>0</v>
      </c>
      <c r="I43" s="19">
        <f t="shared" si="9"/>
        <v>602.1</v>
      </c>
      <c r="J43" s="21">
        <f t="shared" si="9"/>
        <v>6902.1</v>
      </c>
      <c r="K43" s="20"/>
      <c r="L43" s="19">
        <f>+L42</f>
        <v>0</v>
      </c>
      <c r="M43" s="19">
        <f>+M42</f>
        <v>0</v>
      </c>
      <c r="N43" s="19">
        <f>+N42</f>
        <v>0</v>
      </c>
      <c r="O43" s="19">
        <f>+O42</f>
        <v>0</v>
      </c>
      <c r="P43" s="19">
        <f>+P42</f>
        <v>0</v>
      </c>
      <c r="Q43" s="19"/>
      <c r="R43" s="19"/>
      <c r="S43" s="15"/>
    </row>
    <row r="44" spans="2:19" x14ac:dyDescent="0.25">
      <c r="B44" s="56"/>
      <c r="C44" s="56"/>
      <c r="D44" s="29"/>
      <c r="E44" s="29"/>
      <c r="F44" s="29"/>
      <c r="G44" s="29"/>
      <c r="H44" s="29"/>
      <c r="I44" s="29"/>
      <c r="J44" s="48"/>
      <c r="K44" s="48"/>
      <c r="L44" s="29"/>
      <c r="M44" s="29"/>
      <c r="N44" s="29"/>
      <c r="O44" s="29"/>
      <c r="P44" s="29"/>
      <c r="Q44" s="29"/>
      <c r="R44" s="29"/>
      <c r="S44" s="48"/>
    </row>
    <row r="45" spans="2:19" x14ac:dyDescent="0.25">
      <c r="B45" s="56"/>
      <c r="C45" s="56"/>
      <c r="D45" s="29"/>
      <c r="E45" s="29">
        <f>+D45*6</f>
        <v>0</v>
      </c>
      <c r="F45" s="29"/>
      <c r="G45" s="29"/>
      <c r="H45" s="29"/>
      <c r="I45" s="29"/>
      <c r="J45" s="48"/>
      <c r="K45" s="48"/>
      <c r="L45" s="29"/>
      <c r="M45" s="29"/>
      <c r="N45" s="29"/>
      <c r="O45" s="29"/>
      <c r="P45" s="29"/>
      <c r="Q45" s="29"/>
      <c r="R45" s="29"/>
      <c r="S45" s="48"/>
    </row>
    <row r="46" spans="2:19" x14ac:dyDescent="0.25">
      <c r="B46" s="57"/>
      <c r="C46" s="5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 ht="21.75" customHeight="1" x14ac:dyDescent="0.25">
      <c r="B47" s="18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4"/>
    </row>
    <row r="48" spans="2:19" ht="17.399999999999999" x14ac:dyDescent="0.25">
      <c r="B48" s="18"/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4"/>
    </row>
    <row r="49" spans="2:20" ht="17.399999999999999" x14ac:dyDescent="0.25">
      <c r="B49" s="18"/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4"/>
    </row>
    <row r="50" spans="2:20" ht="18" customHeight="1" thickBot="1" x14ac:dyDescent="0.3"/>
    <row r="51" spans="2:20" ht="23.4" thickBot="1" x14ac:dyDescent="0.45">
      <c r="B51" s="13" t="s">
        <v>165</v>
      </c>
      <c r="C51" s="11"/>
      <c r="D51" s="10"/>
      <c r="E51" s="10">
        <f t="shared" ref="E51:J51" si="10">E43+E33</f>
        <v>62844</v>
      </c>
      <c r="F51" s="10">
        <f t="shared" si="10"/>
        <v>5237</v>
      </c>
      <c r="G51" s="10">
        <f t="shared" si="10"/>
        <v>3900</v>
      </c>
      <c r="H51" s="10">
        <f t="shared" si="10"/>
        <v>2377.625</v>
      </c>
      <c r="I51" s="10">
        <f t="shared" si="10"/>
        <v>7007.1060000000007</v>
      </c>
      <c r="J51" s="10">
        <f t="shared" si="10"/>
        <v>81365.731000000014</v>
      </c>
      <c r="K51" s="10" t="e">
        <f>+#REF!+K43+K33+#REF!</f>
        <v>#REF!</v>
      </c>
      <c r="L51" s="10">
        <f>L43+L33</f>
        <v>0</v>
      </c>
      <c r="M51" s="10" t="e">
        <f>+#REF!+M43+M33+#REF!</f>
        <v>#REF!</v>
      </c>
      <c r="N51" s="10">
        <f>N43+N33</f>
        <v>0</v>
      </c>
      <c r="O51" s="10">
        <f>O43+O33</f>
        <v>0</v>
      </c>
      <c r="P51" s="10" t="e">
        <f>+#REF!+P43+P33+#REF!</f>
        <v>#REF!</v>
      </c>
      <c r="Q51" s="10"/>
      <c r="R51" s="12"/>
      <c r="T51" s="4"/>
    </row>
    <row r="52" spans="2:20" x14ac:dyDescent="0.25">
      <c r="B52" s="2"/>
      <c r="C52" s="2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T52" s="4"/>
    </row>
    <row r="55" spans="2:20" x14ac:dyDescent="0.25">
      <c r="T55" s="4"/>
    </row>
    <row r="57" spans="2:20" x14ac:dyDescent="0.25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36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workbookViewId="0">
      <selection activeCell="I5" sqref="I5"/>
    </sheetView>
  </sheetViews>
  <sheetFormatPr baseColWidth="10" defaultRowHeight="14.4" x14ac:dyDescent="0.3"/>
  <cols>
    <col min="2" max="2" width="18.6640625" customWidth="1"/>
  </cols>
  <sheetData>
    <row r="3" spans="2:9" x14ac:dyDescent="0.3">
      <c r="B3" s="439" t="s">
        <v>533</v>
      </c>
      <c r="C3" s="439" t="s">
        <v>17</v>
      </c>
      <c r="D3" s="439" t="s">
        <v>534</v>
      </c>
      <c r="E3" s="438" t="s">
        <v>537</v>
      </c>
      <c r="F3" s="438"/>
      <c r="G3" s="438"/>
      <c r="H3" s="438"/>
      <c r="I3" s="440" t="s">
        <v>535</v>
      </c>
    </row>
    <row r="4" spans="2:9" ht="28.8" customHeight="1" x14ac:dyDescent="0.3">
      <c r="B4" s="439"/>
      <c r="C4" s="439"/>
      <c r="D4" s="439"/>
      <c r="E4" s="374">
        <v>2021</v>
      </c>
      <c r="F4" s="373">
        <v>2022</v>
      </c>
      <c r="G4" s="373">
        <v>2023</v>
      </c>
      <c r="H4" s="374" t="s">
        <v>16</v>
      </c>
      <c r="I4" s="440"/>
    </row>
    <row r="5" spans="2:9" x14ac:dyDescent="0.3">
      <c r="B5" s="53" t="s">
        <v>417</v>
      </c>
      <c r="C5" s="53" t="s">
        <v>159</v>
      </c>
      <c r="D5" s="16">
        <v>1125</v>
      </c>
      <c r="E5" s="16">
        <v>5</v>
      </c>
      <c r="F5" s="16">
        <v>30</v>
      </c>
      <c r="G5" s="16">
        <f>+(2.5)*4.5</f>
        <v>11.25</v>
      </c>
      <c r="H5" s="375">
        <f>SUM(E5:G5)</f>
        <v>46.25</v>
      </c>
      <c r="I5" s="127">
        <f>+(D5/30)*H5</f>
        <v>1734.375</v>
      </c>
    </row>
    <row r="6" spans="2:9" x14ac:dyDescent="0.3">
      <c r="B6" s="53" t="s">
        <v>418</v>
      </c>
      <c r="C6" s="53" t="s">
        <v>422</v>
      </c>
      <c r="D6" s="16">
        <v>450</v>
      </c>
      <c r="E6" s="16"/>
      <c r="F6" s="16">
        <v>30</v>
      </c>
      <c r="G6" s="16">
        <f t="shared" ref="G6:G10" si="0">+(2.5)*4.5</f>
        <v>11.25</v>
      </c>
      <c r="H6" s="375">
        <f t="shared" ref="H6:H9" si="1">SUM(E6:G6)</f>
        <v>41.25</v>
      </c>
      <c r="I6" s="127">
        <f t="shared" ref="I6:I10" si="2">+(D6/30)*H6</f>
        <v>618.75</v>
      </c>
    </row>
    <row r="7" spans="2:9" x14ac:dyDescent="0.3">
      <c r="B7" s="53" t="s">
        <v>419</v>
      </c>
      <c r="C7" s="53" t="s">
        <v>160</v>
      </c>
      <c r="D7" s="16">
        <f>+D6</f>
        <v>450</v>
      </c>
      <c r="E7" s="16"/>
      <c r="F7" s="16">
        <v>30</v>
      </c>
      <c r="G7" s="16">
        <f t="shared" si="0"/>
        <v>11.25</v>
      </c>
      <c r="H7" s="375">
        <f t="shared" si="1"/>
        <v>41.25</v>
      </c>
      <c r="I7" s="127">
        <f t="shared" si="2"/>
        <v>618.75</v>
      </c>
    </row>
    <row r="8" spans="2:9" x14ac:dyDescent="0.3">
      <c r="B8" s="53" t="s">
        <v>420</v>
      </c>
      <c r="C8" s="53" t="s">
        <v>161</v>
      </c>
      <c r="D8" s="16">
        <f>+D7</f>
        <v>450</v>
      </c>
      <c r="E8" s="16"/>
      <c r="F8" s="16">
        <v>30</v>
      </c>
      <c r="G8" s="16">
        <f t="shared" si="0"/>
        <v>11.25</v>
      </c>
      <c r="H8" s="375">
        <f t="shared" si="1"/>
        <v>41.25</v>
      </c>
      <c r="I8" s="127">
        <f t="shared" si="2"/>
        <v>618.75</v>
      </c>
    </row>
    <row r="9" spans="2:9" x14ac:dyDescent="0.3">
      <c r="B9" s="53" t="s">
        <v>421</v>
      </c>
      <c r="C9" s="53" t="s">
        <v>423</v>
      </c>
      <c r="D9" s="16">
        <f>+D8</f>
        <v>450</v>
      </c>
      <c r="E9" s="16"/>
      <c r="F9" s="16">
        <v>30</v>
      </c>
      <c r="G9" s="16">
        <f t="shared" si="0"/>
        <v>11.25</v>
      </c>
      <c r="H9" s="375">
        <f t="shared" si="1"/>
        <v>41.25</v>
      </c>
      <c r="I9" s="127">
        <f t="shared" si="2"/>
        <v>618.75</v>
      </c>
    </row>
    <row r="10" spans="2:9" x14ac:dyDescent="0.3">
      <c r="B10" s="53" t="s">
        <v>536</v>
      </c>
      <c r="C10" s="53" t="s">
        <v>162</v>
      </c>
      <c r="D10" s="16">
        <v>555</v>
      </c>
      <c r="E10" s="16"/>
      <c r="F10" s="16">
        <v>17.7</v>
      </c>
      <c r="G10" s="16">
        <f t="shared" si="0"/>
        <v>11.25</v>
      </c>
      <c r="H10" s="375">
        <f>SUM(E10:G10)</f>
        <v>28.95</v>
      </c>
      <c r="I10" s="127">
        <f t="shared" si="2"/>
        <v>535.57499999999993</v>
      </c>
    </row>
    <row r="11" spans="2:9" x14ac:dyDescent="0.3">
      <c r="H11" s="128" t="s">
        <v>16</v>
      </c>
      <c r="I11" s="128">
        <f>SUM(I5:I10)</f>
        <v>4744.95</v>
      </c>
    </row>
  </sheetData>
  <mergeCells count="5">
    <mergeCell ref="E3:H3"/>
    <mergeCell ref="D3:D4"/>
    <mergeCell ref="C3:C4"/>
    <mergeCell ref="B3:B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9"/>
  <sheetViews>
    <sheetView zoomScale="83" zoomScaleNormal="83" workbookViewId="0">
      <selection activeCell="M1" sqref="M1"/>
    </sheetView>
  </sheetViews>
  <sheetFormatPr baseColWidth="10" defaultRowHeight="14.4" x14ac:dyDescent="0.3"/>
  <cols>
    <col min="2" max="2" width="43.33203125" customWidth="1"/>
    <col min="3" max="3" width="18.88671875" style="152" bestFit="1" customWidth="1"/>
    <col min="5" max="5" width="24.88671875" customWidth="1"/>
  </cols>
  <sheetData>
    <row r="2" spans="2:5" x14ac:dyDescent="0.3">
      <c r="B2" s="91" t="s">
        <v>186</v>
      </c>
      <c r="C2" s="153">
        <f>+INGRESOS!R56</f>
        <v>0</v>
      </c>
      <c r="D2" s="442" t="s">
        <v>176</v>
      </c>
      <c r="E2" s="442"/>
    </row>
    <row r="3" spans="2:5" x14ac:dyDescent="0.3">
      <c r="B3" t="s">
        <v>187</v>
      </c>
      <c r="C3" s="152">
        <f>+(INGRESOS!R25+INGRESOS!R35)</f>
        <v>0</v>
      </c>
      <c r="D3" s="92"/>
      <c r="E3" s="92"/>
    </row>
    <row r="4" spans="2:5" x14ac:dyDescent="0.3">
      <c r="B4" t="s">
        <v>188</v>
      </c>
      <c r="C4" s="152">
        <f>+INGRESOS!R26</f>
        <v>0</v>
      </c>
      <c r="D4" s="92"/>
      <c r="E4" s="124">
        <f>+C2-INGRESOS!R56</f>
        <v>0</v>
      </c>
    </row>
    <row r="5" spans="2:5" x14ac:dyDescent="0.3">
      <c r="B5" t="s">
        <v>189</v>
      </c>
      <c r="D5" s="92"/>
      <c r="E5" s="92"/>
    </row>
    <row r="6" spans="2:5" x14ac:dyDescent="0.3">
      <c r="B6" t="s">
        <v>221</v>
      </c>
      <c r="C6" s="152">
        <f>+INGRESOS!R33</f>
        <v>0</v>
      </c>
      <c r="D6" s="92"/>
      <c r="E6" s="92"/>
    </row>
    <row r="7" spans="2:5" x14ac:dyDescent="0.3">
      <c r="B7" t="s">
        <v>356</v>
      </c>
      <c r="C7" s="152">
        <f>+INGRESOS!R39</f>
        <v>0</v>
      </c>
      <c r="D7" s="92"/>
      <c r="E7" s="92"/>
    </row>
    <row r="8" spans="2:5" x14ac:dyDescent="0.3">
      <c r="B8" t="s">
        <v>285</v>
      </c>
      <c r="C8" s="152">
        <f>+INGRESOS!R48</f>
        <v>0</v>
      </c>
      <c r="D8" s="92"/>
      <c r="E8" s="92"/>
    </row>
    <row r="9" spans="2:5" x14ac:dyDescent="0.3">
      <c r="B9" t="s">
        <v>190</v>
      </c>
      <c r="C9" s="153">
        <f>+INGRESOS!R43</f>
        <v>0</v>
      </c>
    </row>
    <row r="10" spans="2:5" x14ac:dyDescent="0.3">
      <c r="B10" s="91" t="s">
        <v>176</v>
      </c>
    </row>
    <row r="11" spans="2:5" x14ac:dyDescent="0.3">
      <c r="B11" s="128" t="s">
        <v>366</v>
      </c>
      <c r="C11" s="149" t="s">
        <v>110</v>
      </c>
      <c r="D11" s="86">
        <f>+INGRESOS!J6-C49</f>
        <v>3979.284599999999</v>
      </c>
    </row>
    <row r="12" spans="2:5" ht="15.6" x14ac:dyDescent="0.3">
      <c r="B12" s="93" t="s">
        <v>191</v>
      </c>
      <c r="C12" s="286">
        <f>+DISTRIBUTIVO!E11</f>
        <v>12000</v>
      </c>
    </row>
    <row r="13" spans="2:5" ht="15.6" x14ac:dyDescent="0.3">
      <c r="B13" s="93" t="s">
        <v>192</v>
      </c>
      <c r="C13" s="286">
        <f>+DISTRIBUTIVO!E16</f>
        <v>7200</v>
      </c>
    </row>
    <row r="14" spans="2:5" ht="15.6" x14ac:dyDescent="0.3">
      <c r="B14" s="93" t="s">
        <v>193</v>
      </c>
      <c r="C14" s="286">
        <f>+DISTRIBUTIVO!E12+DISTRIBUTIVO!E13+DISTRIBUTIVO!E14+DISTRIBUTIVO!E15</f>
        <v>20400</v>
      </c>
    </row>
    <row r="15" spans="2:5" ht="15.6" x14ac:dyDescent="0.3">
      <c r="B15" s="93" t="s">
        <v>194</v>
      </c>
      <c r="C15" s="286">
        <f>+DISTRIBUTIVO!F11</f>
        <v>1000</v>
      </c>
    </row>
    <row r="16" spans="2:5" ht="15.6" x14ac:dyDescent="0.3">
      <c r="B16" s="93" t="s">
        <v>195</v>
      </c>
      <c r="C16" s="286">
        <f>+DISTRIBUTIVO!G11</f>
        <v>425</v>
      </c>
    </row>
    <row r="17" spans="2:5" ht="15.6" x14ac:dyDescent="0.3">
      <c r="B17" s="93" t="s">
        <v>196</v>
      </c>
      <c r="C17" s="286">
        <f>+DISTRIBUTIVO!F16</f>
        <v>600</v>
      </c>
    </row>
    <row r="18" spans="2:5" ht="15.6" x14ac:dyDescent="0.3">
      <c r="B18" s="93" t="s">
        <v>197</v>
      </c>
      <c r="C18" s="286">
        <f>+DISTRIBUTIVO!G16</f>
        <v>425</v>
      </c>
    </row>
    <row r="19" spans="2:5" ht="15.6" x14ac:dyDescent="0.3">
      <c r="B19" s="93" t="s">
        <v>198</v>
      </c>
      <c r="C19" s="286">
        <f>+DISTRIBUTIVO!F12+DISTRIBUTIVO!F13+DISTRIBUTIVO!F14+DISTRIBUTIVO!F15</f>
        <v>1700</v>
      </c>
    </row>
    <row r="20" spans="2:5" ht="15.6" x14ac:dyDescent="0.3">
      <c r="B20" s="93" t="s">
        <v>268</v>
      </c>
      <c r="C20" s="286">
        <f>+DISTRIBUTIVO!G12+DISTRIBUTIVO!G13+ DISTRIBUTIVO!G14+DISTRIBUTIVO!G15</f>
        <v>1700</v>
      </c>
    </row>
    <row r="21" spans="2:5" ht="15.6" x14ac:dyDescent="0.3">
      <c r="B21" s="93" t="s">
        <v>199</v>
      </c>
      <c r="C21" s="286">
        <f>+DISTRIBUTIVO!H11</f>
        <v>625</v>
      </c>
    </row>
    <row r="22" spans="2:5" ht="15.6" x14ac:dyDescent="0.3">
      <c r="B22" s="93" t="s">
        <v>200</v>
      </c>
      <c r="C22" s="286">
        <f>+DISTRIBUTIVO!H16</f>
        <v>0</v>
      </c>
    </row>
    <row r="23" spans="2:5" ht="15.6" x14ac:dyDescent="0.3">
      <c r="B23" s="93" t="s">
        <v>201</v>
      </c>
      <c r="C23" s="286">
        <f>+DISTRIBUTIVO!H12+DISTRIBUTIVO!H13+DISTRIBUTIVO!H14+DISTRIBUTIVO!H15</f>
        <v>265.625</v>
      </c>
    </row>
    <row r="24" spans="2:5" ht="15.6" x14ac:dyDescent="0.3">
      <c r="B24" s="93" t="s">
        <v>202</v>
      </c>
      <c r="C24" s="286">
        <f>+DISTRIBUTIVO!I11</f>
        <v>1338</v>
      </c>
    </row>
    <row r="25" spans="2:5" ht="15.6" x14ac:dyDescent="0.3">
      <c r="B25" s="93" t="s">
        <v>203</v>
      </c>
      <c r="C25" s="286">
        <f>+DISTRIBUTIVO!I16</f>
        <v>802.80000000000007</v>
      </c>
    </row>
    <row r="26" spans="2:5" ht="15.6" x14ac:dyDescent="0.3">
      <c r="B26" s="93" t="s">
        <v>204</v>
      </c>
      <c r="C26" s="286">
        <f>+DISTRIBUTIVO!I12+DISTRIBUTIVO!I13+DISTRIBUTIVO!I14+DISTRIBUTIVO!I15</f>
        <v>2274.6000000000004</v>
      </c>
    </row>
    <row r="27" spans="2:5" ht="15.6" x14ac:dyDescent="0.3">
      <c r="B27" s="93" t="s">
        <v>267</v>
      </c>
      <c r="C27" s="286"/>
    </row>
    <row r="28" spans="2:5" ht="15.6" x14ac:dyDescent="0.3">
      <c r="B28" s="93" t="s">
        <v>338</v>
      </c>
      <c r="C28" s="286">
        <v>2450</v>
      </c>
    </row>
    <row r="29" spans="2:5" ht="15.6" x14ac:dyDescent="0.3">
      <c r="B29" s="93" t="s">
        <v>6</v>
      </c>
      <c r="C29" s="287">
        <v>125</v>
      </c>
    </row>
    <row r="30" spans="2:5" ht="15.6" x14ac:dyDescent="0.3">
      <c r="B30" s="288" t="s">
        <v>205</v>
      </c>
      <c r="C30" s="287">
        <v>400</v>
      </c>
    </row>
    <row r="31" spans="2:5" ht="15.6" x14ac:dyDescent="0.3">
      <c r="B31" s="288" t="s">
        <v>206</v>
      </c>
      <c r="C31" s="287">
        <v>500</v>
      </c>
    </row>
    <row r="32" spans="2:5" ht="15.6" x14ac:dyDescent="0.3">
      <c r="B32" s="288" t="s">
        <v>304</v>
      </c>
      <c r="C32" s="287">
        <v>500</v>
      </c>
      <c r="E32" s="86"/>
    </row>
    <row r="33" spans="2:3" ht="15.6" x14ac:dyDescent="0.3">
      <c r="B33" s="288" t="s">
        <v>166</v>
      </c>
      <c r="C33" s="287">
        <v>201.6</v>
      </c>
    </row>
    <row r="34" spans="2:3" ht="15.6" x14ac:dyDescent="0.3">
      <c r="B34" s="288" t="s">
        <v>300</v>
      </c>
      <c r="C34" s="287">
        <v>504</v>
      </c>
    </row>
    <row r="35" spans="2:3" ht="15.6" x14ac:dyDescent="0.3">
      <c r="B35" s="288" t="s">
        <v>207</v>
      </c>
      <c r="C35" s="287"/>
    </row>
    <row r="36" spans="2:3" ht="15.6" x14ac:dyDescent="0.3">
      <c r="B36" s="288" t="s">
        <v>222</v>
      </c>
      <c r="C36" s="287">
        <v>200</v>
      </c>
    </row>
    <row r="37" spans="2:3" ht="15.6" x14ac:dyDescent="0.3">
      <c r="B37" s="288" t="s">
        <v>208</v>
      </c>
      <c r="C37" s="287"/>
    </row>
    <row r="38" spans="2:3" ht="15.6" x14ac:dyDescent="0.3">
      <c r="B38" s="288" t="s">
        <v>209</v>
      </c>
      <c r="C38" s="287">
        <v>350</v>
      </c>
    </row>
    <row r="39" spans="2:3" ht="15.6" x14ac:dyDescent="0.3">
      <c r="B39" s="288" t="s">
        <v>210</v>
      </c>
      <c r="C39" s="287">
        <v>300</v>
      </c>
    </row>
    <row r="40" spans="2:3" ht="15.6" x14ac:dyDescent="0.3">
      <c r="B40" s="288" t="s">
        <v>357</v>
      </c>
      <c r="C40" s="287">
        <v>201.6</v>
      </c>
    </row>
    <row r="41" spans="2:3" ht="15.6" x14ac:dyDescent="0.3">
      <c r="B41" s="288" t="s">
        <v>211</v>
      </c>
      <c r="C41" s="287">
        <v>80</v>
      </c>
    </row>
    <row r="42" spans="2:3" ht="15.6" x14ac:dyDescent="0.3">
      <c r="B42" s="288" t="s">
        <v>359</v>
      </c>
      <c r="C42" s="287">
        <v>300</v>
      </c>
    </row>
    <row r="43" spans="2:3" ht="15.6" x14ac:dyDescent="0.3">
      <c r="B43" s="288" t="s">
        <v>212</v>
      </c>
      <c r="C43" s="287">
        <v>1552.99</v>
      </c>
    </row>
    <row r="44" spans="2:3" ht="15.6" x14ac:dyDescent="0.3">
      <c r="B44" s="288" t="s">
        <v>213</v>
      </c>
      <c r="C44" s="287">
        <f>+(INGRESOS!J35+INGRESOS!J25)*0.005</f>
        <v>797.83720000000005</v>
      </c>
    </row>
    <row r="45" spans="2:3" ht="15.6" x14ac:dyDescent="0.3">
      <c r="B45" s="288" t="s">
        <v>296</v>
      </c>
      <c r="C45" s="287">
        <f>+(INGRESOS!J35+INGRESOS!J25)*3%</f>
        <v>4787.0231999999996</v>
      </c>
    </row>
    <row r="46" spans="2:3" ht="15.6" x14ac:dyDescent="0.3">
      <c r="B46" s="288" t="s">
        <v>214</v>
      </c>
      <c r="C46" s="287">
        <v>300</v>
      </c>
    </row>
    <row r="47" spans="2:3" ht="15.6" x14ac:dyDescent="0.3">
      <c r="B47" s="288"/>
      <c r="C47" s="289"/>
    </row>
    <row r="48" spans="2:3" x14ac:dyDescent="0.3">
      <c r="B48" s="127"/>
      <c r="C48" s="150"/>
    </row>
    <row r="49" spans="2:5" ht="15.6" x14ac:dyDescent="0.3">
      <c r="B49" s="172" t="s">
        <v>223</v>
      </c>
      <c r="C49" s="173">
        <f>SUM(C12:C48)</f>
        <v>64306.075400000002</v>
      </c>
      <c r="D49" s="94">
        <f>+GASTOS!D5-PARTICIPATIVO!C49</f>
        <v>626.12459999999555</v>
      </c>
    </row>
    <row r="50" spans="2:5" ht="15.6" x14ac:dyDescent="0.3">
      <c r="B50" s="172" t="s">
        <v>224</v>
      </c>
      <c r="C50" s="173">
        <f>+INGRESOS!J6-C49</f>
        <v>3979.284599999999</v>
      </c>
      <c r="D50" s="94"/>
      <c r="E50" s="95"/>
    </row>
    <row r="51" spans="2:5" ht="15.6" x14ac:dyDescent="0.3">
      <c r="B51" s="172" t="s">
        <v>215</v>
      </c>
      <c r="C51" s="173">
        <f>+INGRESOS!J49-PARTICIPATIVO!C49</f>
        <v>231150.1146</v>
      </c>
    </row>
    <row r="52" spans="2:5" ht="15.6" x14ac:dyDescent="0.3">
      <c r="B52" s="172"/>
      <c r="C52" s="173"/>
    </row>
    <row r="53" spans="2:5" ht="15.6" x14ac:dyDescent="0.3">
      <c r="B53" s="172" t="s">
        <v>367</v>
      </c>
      <c r="C53" s="173"/>
    </row>
    <row r="54" spans="2:5" ht="15.6" x14ac:dyDescent="0.3">
      <c r="B54" s="172" t="s">
        <v>362</v>
      </c>
      <c r="C54" s="173"/>
    </row>
    <row r="55" spans="2:5" x14ac:dyDescent="0.3">
      <c r="B55" s="127" t="s">
        <v>433</v>
      </c>
      <c r="C55" s="294">
        <v>58671.81</v>
      </c>
    </row>
    <row r="56" spans="2:5" x14ac:dyDescent="0.3">
      <c r="B56" s="128" t="s">
        <v>363</v>
      </c>
      <c r="C56" s="149">
        <f>+C55</f>
        <v>58671.81</v>
      </c>
    </row>
    <row r="57" spans="2:5" x14ac:dyDescent="0.3">
      <c r="B57" s="128"/>
      <c r="C57" s="149"/>
    </row>
    <row r="58" spans="2:5" x14ac:dyDescent="0.3">
      <c r="B58" s="128" t="s">
        <v>364</v>
      </c>
      <c r="C58" s="149"/>
    </row>
    <row r="59" spans="2:5" ht="43.2" x14ac:dyDescent="0.3">
      <c r="B59" s="170" t="s">
        <v>450</v>
      </c>
      <c r="C59" s="295">
        <v>8615</v>
      </c>
    </row>
    <row r="60" spans="2:5" ht="15.6" x14ac:dyDescent="0.3">
      <c r="B60" s="288" t="s">
        <v>358</v>
      </c>
      <c r="C60" s="287">
        <v>1100</v>
      </c>
      <c r="D60" s="290"/>
      <c r="E60" s="154"/>
    </row>
    <row r="61" spans="2:5" ht="15.6" x14ac:dyDescent="0.3">
      <c r="B61" s="288" t="s">
        <v>360</v>
      </c>
      <c r="C61" s="287">
        <v>400</v>
      </c>
      <c r="D61" s="290"/>
      <c r="E61" s="154"/>
    </row>
    <row r="62" spans="2:5" ht="43.2" x14ac:dyDescent="0.3">
      <c r="B62" s="170" t="s">
        <v>425</v>
      </c>
      <c r="C62" s="295">
        <v>9500</v>
      </c>
    </row>
    <row r="63" spans="2:5" ht="28.8" x14ac:dyDescent="0.3">
      <c r="B63" s="170" t="s">
        <v>376</v>
      </c>
      <c r="C63" s="295">
        <v>25554.93</v>
      </c>
    </row>
    <row r="64" spans="2:5" ht="28.8" x14ac:dyDescent="0.3">
      <c r="B64" s="291" t="s">
        <v>377</v>
      </c>
      <c r="C64" s="295">
        <f>SUM(C65:C73)</f>
        <v>91419.26999999999</v>
      </c>
      <c r="E64" s="296"/>
    </row>
    <row r="65" spans="2:5" x14ac:dyDescent="0.3">
      <c r="B65" s="127" t="s">
        <v>426</v>
      </c>
      <c r="C65" s="150">
        <v>7000</v>
      </c>
      <c r="D65" t="s">
        <v>453</v>
      </c>
    </row>
    <row r="66" spans="2:5" x14ac:dyDescent="0.3">
      <c r="B66" s="292" t="s">
        <v>427</v>
      </c>
      <c r="C66" s="150">
        <v>5000</v>
      </c>
      <c r="D66" t="s">
        <v>454</v>
      </c>
    </row>
    <row r="67" spans="2:5" x14ac:dyDescent="0.3">
      <c r="B67" s="292" t="s">
        <v>435</v>
      </c>
      <c r="C67" s="150">
        <v>4000</v>
      </c>
    </row>
    <row r="68" spans="2:5" x14ac:dyDescent="0.3">
      <c r="B68" s="127" t="s">
        <v>430</v>
      </c>
      <c r="C68" s="150">
        <v>8000</v>
      </c>
      <c r="D68" t="s">
        <v>455</v>
      </c>
    </row>
    <row r="69" spans="2:5" x14ac:dyDescent="0.3">
      <c r="B69" s="127" t="s">
        <v>431</v>
      </c>
      <c r="C69" s="150">
        <v>7000</v>
      </c>
      <c r="D69" t="s">
        <v>456</v>
      </c>
    </row>
    <row r="70" spans="2:5" x14ac:dyDescent="0.3">
      <c r="B70" s="292" t="s">
        <v>436</v>
      </c>
      <c r="C70" s="150">
        <v>7840</v>
      </c>
    </row>
    <row r="71" spans="2:5" x14ac:dyDescent="0.3">
      <c r="B71" s="292" t="s">
        <v>437</v>
      </c>
      <c r="C71" s="150">
        <v>3754.27</v>
      </c>
      <c r="E71" s="284"/>
    </row>
    <row r="72" spans="2:5" ht="15.6" x14ac:dyDescent="0.3">
      <c r="B72" s="288" t="s">
        <v>424</v>
      </c>
      <c r="C72" s="289">
        <v>825</v>
      </c>
    </row>
    <row r="73" spans="2:5" x14ac:dyDescent="0.3">
      <c r="B73" s="292" t="s">
        <v>434</v>
      </c>
      <c r="C73" s="150">
        <v>48000</v>
      </c>
    </row>
    <row r="74" spans="2:5" ht="28.8" x14ac:dyDescent="0.3">
      <c r="B74" s="170" t="s">
        <v>329</v>
      </c>
      <c r="C74" s="295">
        <v>10000</v>
      </c>
    </row>
    <row r="75" spans="2:5" ht="28.8" x14ac:dyDescent="0.3">
      <c r="B75" s="170" t="s">
        <v>378</v>
      </c>
      <c r="C75" s="295">
        <v>9000</v>
      </c>
    </row>
    <row r="76" spans="2:5" ht="28.8" x14ac:dyDescent="0.3">
      <c r="B76" s="297" t="s">
        <v>449</v>
      </c>
      <c r="C76" s="295">
        <v>6000</v>
      </c>
    </row>
    <row r="77" spans="2:5" ht="43.2" x14ac:dyDescent="0.3">
      <c r="B77" s="170" t="s">
        <v>379</v>
      </c>
      <c r="C77" s="295">
        <f>+DISTRIBUTIVO!J21</f>
        <v>10726.46</v>
      </c>
    </row>
    <row r="78" spans="2:5" x14ac:dyDescent="0.3">
      <c r="B78" s="170" t="s">
        <v>428</v>
      </c>
      <c r="C78" s="149"/>
    </row>
    <row r="79" spans="2:5" x14ac:dyDescent="0.3">
      <c r="B79" s="170" t="s">
        <v>429</v>
      </c>
      <c r="C79" s="295">
        <v>9000</v>
      </c>
    </row>
    <row r="80" spans="2:5" x14ac:dyDescent="0.3">
      <c r="B80" s="128" t="s">
        <v>365</v>
      </c>
      <c r="C80" s="169">
        <f>SUM(C59:C79)-(C64+C60+C61)</f>
        <v>179815.66</v>
      </c>
    </row>
    <row r="81" spans="2:9" x14ac:dyDescent="0.3">
      <c r="B81" s="170" t="s">
        <v>361</v>
      </c>
      <c r="C81" s="168">
        <f>+C80+C56</f>
        <v>238487.47</v>
      </c>
      <c r="D81" s="121"/>
      <c r="E81" s="94"/>
    </row>
    <row r="82" spans="2:9" s="91" customFormat="1" x14ac:dyDescent="0.3">
      <c r="B82" s="128" t="s">
        <v>368</v>
      </c>
      <c r="C82" s="171">
        <f>+C81+C49</f>
        <v>302793.5454</v>
      </c>
      <c r="D82" s="123"/>
      <c r="E82" s="126"/>
    </row>
    <row r="83" spans="2:9" x14ac:dyDescent="0.3">
      <c r="B83" s="125"/>
      <c r="C83" s="155"/>
      <c r="D83" s="121"/>
      <c r="E83" s="86"/>
    </row>
    <row r="84" spans="2:9" x14ac:dyDescent="0.3">
      <c r="B84" s="125"/>
      <c r="C84" s="155"/>
      <c r="D84" s="293">
        <f>+INGRESOS!J49-PARTICIPATIVO!C82</f>
        <v>-7337.3554000000004</v>
      </c>
      <c r="E84" s="91"/>
    </row>
    <row r="85" spans="2:9" x14ac:dyDescent="0.3">
      <c r="D85" s="91"/>
      <c r="E85" s="91"/>
    </row>
    <row r="86" spans="2:9" x14ac:dyDescent="0.3">
      <c r="D86" s="91"/>
      <c r="E86" s="91"/>
    </row>
    <row r="87" spans="2:9" x14ac:dyDescent="0.3">
      <c r="B87" s="96" t="s">
        <v>225</v>
      </c>
      <c r="E87" s="96" t="s">
        <v>226</v>
      </c>
      <c r="F87" s="96" t="s">
        <v>227</v>
      </c>
      <c r="G87" s="96" t="s">
        <v>16</v>
      </c>
      <c r="H87" s="96" t="s">
        <v>228</v>
      </c>
    </row>
    <row r="88" spans="2:9" x14ac:dyDescent="0.3">
      <c r="B88" s="108" t="s">
        <v>216</v>
      </c>
      <c r="C88" s="156"/>
      <c r="D88" s="108"/>
      <c r="E88" s="108">
        <f>140*4</f>
        <v>560</v>
      </c>
      <c r="F88" s="108">
        <f>230*4</f>
        <v>920</v>
      </c>
      <c r="G88" s="108">
        <f>+F88+E88</f>
        <v>1480</v>
      </c>
      <c r="H88" s="109">
        <f>F88/G88</f>
        <v>0.6216216216216216</v>
      </c>
    </row>
    <row r="89" spans="2:9" x14ac:dyDescent="0.3">
      <c r="B89" s="111" t="s">
        <v>217</v>
      </c>
      <c r="C89" s="157"/>
      <c r="D89" s="111"/>
      <c r="E89" s="111">
        <v>560</v>
      </c>
      <c r="F89" s="111">
        <f>125*4</f>
        <v>500</v>
      </c>
      <c r="G89" s="111">
        <f>+F89+E89</f>
        <v>1060</v>
      </c>
      <c r="H89" s="112">
        <f>+F89/G89</f>
        <v>0.47169811320754718</v>
      </c>
    </row>
    <row r="90" spans="2:9" ht="27.6" x14ac:dyDescent="0.3">
      <c r="B90" s="113" t="s">
        <v>234</v>
      </c>
      <c r="C90" s="158" t="s">
        <v>235</v>
      </c>
      <c r="D90" s="113" t="s">
        <v>236</v>
      </c>
      <c r="E90" s="111"/>
      <c r="F90" s="112"/>
      <c r="G90" s="111"/>
      <c r="H90" s="111"/>
    </row>
    <row r="91" spans="2:9" ht="27.6" x14ac:dyDescent="0.3">
      <c r="B91" s="120" t="s">
        <v>256</v>
      </c>
      <c r="C91" s="159" t="s">
        <v>261</v>
      </c>
      <c r="D91" s="114"/>
      <c r="E91" s="111">
        <v>56</v>
      </c>
      <c r="F91" s="111">
        <v>120</v>
      </c>
      <c r="G91" s="111">
        <f>+F91+E91</f>
        <v>176</v>
      </c>
      <c r="H91" s="112">
        <f>+F91/G91</f>
        <v>0.68181818181818177</v>
      </c>
      <c r="I91" t="e">
        <f>+$C$133*H91</f>
        <v>#REF!</v>
      </c>
    </row>
    <row r="92" spans="2:9" ht="69" x14ac:dyDescent="0.3">
      <c r="B92" s="446" t="s">
        <v>237</v>
      </c>
      <c r="C92" s="159" t="s">
        <v>238</v>
      </c>
      <c r="D92" s="114" t="s">
        <v>262</v>
      </c>
      <c r="E92" s="111">
        <v>102</v>
      </c>
      <c r="F92" s="111">
        <v>40</v>
      </c>
      <c r="G92" s="111">
        <f>+F92+E92</f>
        <v>142</v>
      </c>
      <c r="H92" s="112">
        <f>+F92/G92</f>
        <v>0.28169014084507044</v>
      </c>
      <c r="I92" t="e">
        <f>+$C$133*H92</f>
        <v>#REF!</v>
      </c>
    </row>
    <row r="93" spans="2:9" ht="69" x14ac:dyDescent="0.3">
      <c r="B93" s="446"/>
      <c r="C93" s="447" t="s">
        <v>239</v>
      </c>
      <c r="D93" s="114" t="s">
        <v>263</v>
      </c>
      <c r="E93" s="111">
        <v>40</v>
      </c>
      <c r="F93" s="111">
        <v>10</v>
      </c>
      <c r="G93" s="111">
        <f>+F93+E93</f>
        <v>50</v>
      </c>
      <c r="H93" s="112">
        <f>+F93/G93</f>
        <v>0.2</v>
      </c>
      <c r="I93" t="e">
        <f>+$C$133*H93</f>
        <v>#REF!</v>
      </c>
    </row>
    <row r="94" spans="2:9" ht="41.4" x14ac:dyDescent="0.3">
      <c r="B94" s="446"/>
      <c r="C94" s="447"/>
      <c r="D94" s="114" t="s">
        <v>240</v>
      </c>
      <c r="E94" s="111">
        <v>560</v>
      </c>
      <c r="F94" s="111">
        <v>60</v>
      </c>
      <c r="G94" s="111">
        <f>+F94+E94</f>
        <v>620</v>
      </c>
      <c r="H94" s="112">
        <f>+F94/G94</f>
        <v>9.6774193548387094E-2</v>
      </c>
      <c r="I94" t="e">
        <f>+$C$133*H94</f>
        <v>#REF!</v>
      </c>
    </row>
    <row r="95" spans="2:9" ht="41.4" hidden="1" x14ac:dyDescent="0.3">
      <c r="B95" s="446" t="s">
        <v>241</v>
      </c>
      <c r="C95" s="447" t="s">
        <v>242</v>
      </c>
      <c r="D95" s="114" t="s">
        <v>243</v>
      </c>
      <c r="E95" s="111"/>
      <c r="F95" s="112"/>
      <c r="G95" s="111"/>
      <c r="H95" s="111"/>
    </row>
    <row r="96" spans="2:9" ht="27.6" hidden="1" x14ac:dyDescent="0.3">
      <c r="B96" s="446"/>
      <c r="C96" s="447"/>
      <c r="D96" s="114" t="s">
        <v>244</v>
      </c>
      <c r="E96" s="111"/>
      <c r="F96" s="112"/>
      <c r="G96" s="111"/>
      <c r="H96" s="111"/>
    </row>
    <row r="97" spans="2:9" hidden="1" x14ac:dyDescent="0.3">
      <c r="B97" s="446"/>
      <c r="C97" s="447"/>
      <c r="D97" s="114" t="s">
        <v>245</v>
      </c>
      <c r="E97" s="111"/>
      <c r="F97" s="112"/>
      <c r="G97" s="111"/>
      <c r="H97" s="111"/>
    </row>
    <row r="98" spans="2:9" ht="27.6" x14ac:dyDescent="0.3">
      <c r="B98" s="443" t="s">
        <v>257</v>
      </c>
      <c r="C98" s="159"/>
      <c r="D98" s="114" t="s">
        <v>259</v>
      </c>
      <c r="E98" s="111"/>
      <c r="F98" s="112"/>
      <c r="G98" s="111"/>
      <c r="H98" s="111"/>
    </row>
    <row r="99" spans="2:9" x14ac:dyDescent="0.3">
      <c r="B99" s="444"/>
      <c r="C99" s="159"/>
      <c r="D99" s="114" t="s">
        <v>258</v>
      </c>
      <c r="E99" s="111"/>
      <c r="F99" s="111"/>
      <c r="G99" s="111"/>
      <c r="H99" s="112"/>
    </row>
    <row r="100" spans="2:9" x14ac:dyDescent="0.3">
      <c r="B100" s="444"/>
      <c r="C100" s="159"/>
      <c r="D100" s="114" t="s">
        <v>260</v>
      </c>
      <c r="E100" s="111"/>
      <c r="F100" s="111"/>
      <c r="G100" s="111"/>
      <c r="H100" s="112"/>
    </row>
    <row r="101" spans="2:9" ht="82.8" x14ac:dyDescent="0.3">
      <c r="B101" s="445"/>
      <c r="C101" s="159"/>
      <c r="D101" s="114" t="s">
        <v>264</v>
      </c>
      <c r="E101" s="111">
        <v>15</v>
      </c>
      <c r="F101" s="111">
        <v>80</v>
      </c>
      <c r="G101" s="111">
        <f>+F101+E101</f>
        <v>95</v>
      </c>
      <c r="H101" s="112">
        <f>+F101/G101</f>
        <v>0.84210526315789469</v>
      </c>
      <c r="I101" t="e">
        <f>+$C$133*H101</f>
        <v>#REF!</v>
      </c>
    </row>
    <row r="102" spans="2:9" x14ac:dyDescent="0.3">
      <c r="B102" s="115" t="s">
        <v>229</v>
      </c>
      <c r="C102" s="160"/>
      <c r="D102" s="115"/>
      <c r="E102" s="115">
        <v>360</v>
      </c>
      <c r="F102" s="115">
        <f>+F88*65%</f>
        <v>598</v>
      </c>
      <c r="G102" s="115">
        <f>+F102+E102</f>
        <v>958</v>
      </c>
      <c r="H102" s="116">
        <f>+E102/G102</f>
        <v>0.37578288100208768</v>
      </c>
    </row>
    <row r="103" spans="2:9" ht="28.8" x14ac:dyDescent="0.3">
      <c r="B103" s="110" t="s">
        <v>250</v>
      </c>
      <c r="C103" s="160"/>
      <c r="D103" s="115"/>
      <c r="E103" s="115"/>
      <c r="F103" s="116"/>
      <c r="G103" s="115"/>
      <c r="H103" s="115"/>
    </row>
    <row r="104" spans="2:9" x14ac:dyDescent="0.3">
      <c r="B104" s="110" t="s">
        <v>251</v>
      </c>
      <c r="C104" s="160"/>
      <c r="D104" s="115"/>
      <c r="E104" s="115"/>
      <c r="F104" s="116"/>
      <c r="G104" s="115"/>
      <c r="H104" s="115"/>
    </row>
    <row r="105" spans="2:9" x14ac:dyDescent="0.3">
      <c r="B105" s="110" t="s">
        <v>252</v>
      </c>
      <c r="C105" s="160"/>
      <c r="D105" s="115"/>
      <c r="E105" s="115"/>
      <c r="F105" s="116"/>
      <c r="G105" s="115"/>
      <c r="H105" s="115"/>
    </row>
    <row r="106" spans="2:9" ht="28.8" x14ac:dyDescent="0.3">
      <c r="B106" s="110" t="s">
        <v>253</v>
      </c>
      <c r="C106" s="160"/>
      <c r="D106" s="115"/>
      <c r="E106" s="115"/>
      <c r="F106" s="116"/>
      <c r="G106" s="115"/>
      <c r="H106" s="115"/>
    </row>
    <row r="107" spans="2:9" ht="28.8" x14ac:dyDescent="0.3">
      <c r="B107" s="110" t="s">
        <v>254</v>
      </c>
      <c r="C107" s="160"/>
      <c r="D107" s="115"/>
      <c r="E107" s="115"/>
      <c r="F107" s="116"/>
      <c r="G107" s="115"/>
      <c r="H107" s="115"/>
    </row>
    <row r="108" spans="2:9" x14ac:dyDescent="0.3">
      <c r="B108" s="110" t="s">
        <v>255</v>
      </c>
      <c r="C108" s="160"/>
      <c r="D108" s="115"/>
      <c r="E108" s="115"/>
      <c r="F108" s="116"/>
      <c r="G108" s="115"/>
      <c r="H108" s="115"/>
    </row>
    <row r="109" spans="2:9" x14ac:dyDescent="0.3">
      <c r="B109" s="97" t="s">
        <v>218</v>
      </c>
      <c r="C109" s="161"/>
      <c r="D109" s="97"/>
      <c r="E109" s="97">
        <v>59</v>
      </c>
      <c r="F109" s="97">
        <v>236</v>
      </c>
      <c r="G109" s="97">
        <f>+F109+E109</f>
        <v>295</v>
      </c>
      <c r="H109" s="98">
        <f>+F109/G109</f>
        <v>0.8</v>
      </c>
    </row>
    <row r="110" spans="2:9" ht="75" x14ac:dyDescent="0.3">
      <c r="B110" s="119" t="s">
        <v>246</v>
      </c>
      <c r="C110" s="161"/>
      <c r="D110" s="97"/>
      <c r="E110" s="97"/>
      <c r="F110" s="122"/>
      <c r="G110" s="97"/>
      <c r="H110" s="97"/>
    </row>
    <row r="111" spans="2:9" ht="30" x14ac:dyDescent="0.3">
      <c r="B111" s="119" t="s">
        <v>247</v>
      </c>
      <c r="C111" s="161"/>
      <c r="D111" s="97"/>
      <c r="E111" s="97"/>
      <c r="F111" s="98"/>
      <c r="G111" s="97"/>
      <c r="H111" s="97"/>
    </row>
    <row r="112" spans="2:9" ht="45" x14ac:dyDescent="0.3">
      <c r="B112" s="119" t="s">
        <v>248</v>
      </c>
      <c r="C112" s="161"/>
      <c r="D112" s="97"/>
      <c r="E112" s="97"/>
      <c r="F112" s="98"/>
      <c r="G112" s="97"/>
      <c r="H112" s="97"/>
    </row>
    <row r="113" spans="2:16" ht="45" x14ac:dyDescent="0.3">
      <c r="B113" s="119" t="s">
        <v>249</v>
      </c>
      <c r="C113" s="161"/>
      <c r="D113" s="97"/>
      <c r="E113" s="97"/>
      <c r="F113" s="98"/>
      <c r="G113" s="97"/>
      <c r="H113" s="97"/>
    </row>
    <row r="114" spans="2:16" x14ac:dyDescent="0.3">
      <c r="B114" s="97"/>
      <c r="C114" s="161"/>
      <c r="D114" s="97"/>
      <c r="E114" s="97"/>
      <c r="F114" s="98"/>
      <c r="G114" s="97"/>
      <c r="H114" s="97"/>
    </row>
    <row r="115" spans="2:16" x14ac:dyDescent="0.3">
      <c r="B115" s="117" t="s">
        <v>266</v>
      </c>
      <c r="C115" s="162"/>
      <c r="D115" s="117"/>
      <c r="E115" s="117"/>
      <c r="F115" s="117"/>
      <c r="G115" s="117">
        <f>+D115+C115</f>
        <v>0</v>
      </c>
      <c r="H115" s="118">
        <v>0.5</v>
      </c>
    </row>
    <row r="116" spans="2:16" x14ac:dyDescent="0.3">
      <c r="C116" s="152" t="s">
        <v>219</v>
      </c>
      <c r="E116" t="s">
        <v>220</v>
      </c>
      <c r="F116" s="95"/>
    </row>
    <row r="117" spans="2:16" x14ac:dyDescent="0.3">
      <c r="B117" s="99" t="s">
        <v>230</v>
      </c>
      <c r="C117" s="163" t="e">
        <f>+#REF!</f>
        <v>#REF!</v>
      </c>
      <c r="D117" s="100">
        <v>1</v>
      </c>
      <c r="E117" s="99">
        <v>20000</v>
      </c>
    </row>
    <row r="118" spans="2:16" x14ac:dyDescent="0.3">
      <c r="B118" s="99" t="s">
        <v>216</v>
      </c>
      <c r="C118" s="164" t="e">
        <f>+C117*D118</f>
        <v>#REF!</v>
      </c>
      <c r="D118" s="100">
        <v>0.4</v>
      </c>
      <c r="E118" s="99">
        <v>0</v>
      </c>
    </row>
    <row r="119" spans="2:16" x14ac:dyDescent="0.3">
      <c r="B119" s="99" t="s">
        <v>217</v>
      </c>
      <c r="C119" s="164" t="e">
        <f>+C117*D119</f>
        <v>#REF!</v>
      </c>
      <c r="D119" s="100">
        <v>0.3</v>
      </c>
      <c r="E119" s="99">
        <v>0</v>
      </c>
    </row>
    <row r="120" spans="2:16" x14ac:dyDescent="0.3">
      <c r="B120" s="99" t="s">
        <v>231</v>
      </c>
      <c r="C120" s="164" t="e">
        <f>+C117*D120</f>
        <v>#REF!</v>
      </c>
      <c r="D120" s="100">
        <v>0.1</v>
      </c>
      <c r="E120" s="99">
        <v>0</v>
      </c>
    </row>
    <row r="121" spans="2:16" x14ac:dyDescent="0.3">
      <c r="B121" s="99" t="s">
        <v>218</v>
      </c>
      <c r="C121" s="164" t="e">
        <f>+C117*D121</f>
        <v>#REF!</v>
      </c>
      <c r="D121" s="100">
        <v>0.15</v>
      </c>
      <c r="E121" s="99">
        <v>0</v>
      </c>
    </row>
    <row r="122" spans="2:16" x14ac:dyDescent="0.3">
      <c r="B122" s="99" t="s">
        <v>232</v>
      </c>
      <c r="C122" s="164" t="e">
        <f>+C117*D122</f>
        <v>#REF!</v>
      </c>
      <c r="D122" s="100">
        <v>0.05</v>
      </c>
      <c r="E122" s="99">
        <v>0</v>
      </c>
    </row>
    <row r="123" spans="2:16" x14ac:dyDescent="0.3">
      <c r="C123" s="152" t="e">
        <f>SUM(C118:C122)</f>
        <v>#REF!</v>
      </c>
      <c r="E123">
        <f>SUM(E118:E122)</f>
        <v>0</v>
      </c>
    </row>
    <row r="124" spans="2:16" x14ac:dyDescent="0.3">
      <c r="C124" s="165" t="s">
        <v>233</v>
      </c>
      <c r="D124" s="91"/>
      <c r="E124" s="91"/>
      <c r="F124" s="441"/>
      <c r="G124" s="441"/>
      <c r="H124" s="441"/>
      <c r="I124" s="441"/>
      <c r="J124" s="441"/>
    </row>
    <row r="125" spans="2:16" x14ac:dyDescent="0.3">
      <c r="B125" s="101" t="s">
        <v>230</v>
      </c>
      <c r="C125" s="166" t="s">
        <v>16</v>
      </c>
      <c r="D125" s="101" t="s">
        <v>226</v>
      </c>
      <c r="E125" s="101" t="s">
        <v>227</v>
      </c>
      <c r="F125" s="95"/>
    </row>
    <row r="126" spans="2:16" x14ac:dyDescent="0.3">
      <c r="B126" s="102" t="s">
        <v>216</v>
      </c>
      <c r="C126" s="167" t="e">
        <f>+C118</f>
        <v>#REF!</v>
      </c>
      <c r="D126" s="103" t="e">
        <f>+C126-E126</f>
        <v>#REF!</v>
      </c>
      <c r="E126" s="103" t="e">
        <f>+C126*H88</f>
        <v>#REF!</v>
      </c>
      <c r="G126" s="86"/>
      <c r="H126" s="86"/>
      <c r="I126" s="86"/>
      <c r="J126" s="86"/>
    </row>
    <row r="127" spans="2:16" x14ac:dyDescent="0.3">
      <c r="B127" s="102" t="s">
        <v>217</v>
      </c>
      <c r="C127" s="167" t="e">
        <f>+C119</f>
        <v>#REF!</v>
      </c>
      <c r="D127" s="103" t="e">
        <f>+C127-E127</f>
        <v>#REF!</v>
      </c>
      <c r="E127" s="103" t="e">
        <f>+I91+I92+I93+I94+I101</f>
        <v>#REF!</v>
      </c>
      <c r="G127" s="86"/>
      <c r="H127" s="86"/>
      <c r="I127" s="86"/>
      <c r="J127" s="86"/>
    </row>
    <row r="128" spans="2:16" x14ac:dyDescent="0.3">
      <c r="B128" s="102" t="s">
        <v>231</v>
      </c>
      <c r="C128" s="167" t="e">
        <f>+C120</f>
        <v>#REF!</v>
      </c>
      <c r="D128" s="103" t="e">
        <f>+C128-E128</f>
        <v>#REF!</v>
      </c>
      <c r="E128" s="103" t="e">
        <f>+C128*H102</f>
        <v>#REF!</v>
      </c>
      <c r="G128" s="86"/>
      <c r="H128" s="86"/>
      <c r="I128" s="86"/>
      <c r="J128" s="86"/>
      <c r="K128" s="94"/>
      <c r="L128" s="94"/>
      <c r="M128" s="94"/>
      <c r="N128" s="94"/>
      <c r="O128" s="94"/>
      <c r="P128" s="94"/>
    </row>
    <row r="129" spans="2:16" x14ac:dyDescent="0.3">
      <c r="B129" s="102" t="s">
        <v>218</v>
      </c>
      <c r="C129" s="167" t="e">
        <f>+C121</f>
        <v>#REF!</v>
      </c>
      <c r="D129" s="103" t="e">
        <f>+C129-E129</f>
        <v>#REF!</v>
      </c>
      <c r="E129" s="103" t="e">
        <f>+C129*H109</f>
        <v>#REF!</v>
      </c>
      <c r="G129" s="86"/>
      <c r="H129" s="86"/>
      <c r="I129" s="86"/>
      <c r="J129" s="86"/>
      <c r="K129" s="107"/>
      <c r="L129" s="107"/>
      <c r="M129" s="107"/>
      <c r="N129" s="107"/>
      <c r="O129" s="107"/>
      <c r="P129" s="107"/>
    </row>
    <row r="130" spans="2:16" x14ac:dyDescent="0.3">
      <c r="B130" s="102" t="s">
        <v>232</v>
      </c>
      <c r="C130" s="167" t="e">
        <f>+C122</f>
        <v>#REF!</v>
      </c>
      <c r="D130" s="103" t="e">
        <f>+C130-E130</f>
        <v>#REF!</v>
      </c>
      <c r="E130" s="103" t="e">
        <f>+C130*H115</f>
        <v>#REF!</v>
      </c>
      <c r="G130" s="86"/>
      <c r="H130" s="86"/>
      <c r="I130" s="86"/>
      <c r="J130" s="86"/>
      <c r="P130" s="94"/>
    </row>
    <row r="131" spans="2:16" x14ac:dyDescent="0.3">
      <c r="B131" s="101" t="s">
        <v>16</v>
      </c>
      <c r="C131" s="166" t="e">
        <f>SUM(C126:C130)</f>
        <v>#REF!</v>
      </c>
      <c r="D131" s="104" t="e">
        <f>SUM(D126:D130)</f>
        <v>#REF!</v>
      </c>
      <c r="E131" s="104" t="e">
        <f>SUM(E126:E130)</f>
        <v>#REF!</v>
      </c>
      <c r="I131" s="86"/>
      <c r="J131" s="86"/>
      <c r="K131" s="107"/>
      <c r="L131" s="107"/>
      <c r="M131" s="107"/>
      <c r="N131" s="107"/>
      <c r="O131" s="107"/>
      <c r="P131" s="107"/>
    </row>
    <row r="132" spans="2:16" x14ac:dyDescent="0.3">
      <c r="C132" s="151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95"/>
    </row>
    <row r="133" spans="2:16" x14ac:dyDescent="0.3">
      <c r="C133" s="151" t="e">
        <f>+C127/5</f>
        <v>#REF!</v>
      </c>
      <c r="E133" s="86"/>
      <c r="F133" s="106"/>
    </row>
    <row r="136" spans="2:16" x14ac:dyDescent="0.3">
      <c r="B136" t="s">
        <v>278</v>
      </c>
    </row>
    <row r="137" spans="2:16" x14ac:dyDescent="0.3">
      <c r="B137">
        <v>3000</v>
      </c>
      <c r="C137" s="152" t="s">
        <v>279</v>
      </c>
    </row>
    <row r="138" spans="2:16" x14ac:dyDescent="0.3">
      <c r="B138" s="86" t="e">
        <f>+D131-B137</f>
        <v>#REF!</v>
      </c>
      <c r="C138" s="152" t="s">
        <v>280</v>
      </c>
    </row>
    <row r="139" spans="2:16" x14ac:dyDescent="0.3">
      <c r="B139" t="s">
        <v>281</v>
      </c>
    </row>
  </sheetData>
  <mergeCells count="8">
    <mergeCell ref="F124:H124"/>
    <mergeCell ref="I124:J124"/>
    <mergeCell ref="D2:E2"/>
    <mergeCell ref="B98:B101"/>
    <mergeCell ref="B92:B94"/>
    <mergeCell ref="C93:C94"/>
    <mergeCell ref="B95:B97"/>
    <mergeCell ref="C95:C97"/>
  </mergeCells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2"/>
  <sheetViews>
    <sheetView topLeftCell="B1" workbookViewId="0">
      <selection activeCell="C9" sqref="C9"/>
    </sheetView>
  </sheetViews>
  <sheetFormatPr baseColWidth="10" defaultRowHeight="20.25" customHeight="1" x14ac:dyDescent="0.3"/>
  <cols>
    <col min="2" max="2" width="41.5546875" customWidth="1"/>
    <col min="3" max="3" width="21.6640625" customWidth="1"/>
    <col min="4" max="4" width="13.88671875" style="152" bestFit="1" customWidth="1"/>
  </cols>
  <sheetData>
    <row r="1" spans="2:6" ht="20.25" customHeight="1" x14ac:dyDescent="0.3">
      <c r="E1" t="s">
        <v>443</v>
      </c>
      <c r="F1">
        <f>+PARTICIPATIVO!F57</f>
        <v>0</v>
      </c>
    </row>
    <row r="2" spans="2:6" ht="20.25" customHeight="1" x14ac:dyDescent="0.3">
      <c r="B2" t="s">
        <v>223</v>
      </c>
      <c r="C2">
        <f>+PARTICIPATIVO!C49</f>
        <v>64306.075400000002</v>
      </c>
      <c r="D2" s="152">
        <v>0</v>
      </c>
    </row>
    <row r="3" spans="2:6" ht="20.25" customHeight="1" x14ac:dyDescent="0.3">
      <c r="B3" t="s">
        <v>433</v>
      </c>
      <c r="C3">
        <f>+PARTICIPATIVO!C55</f>
        <v>58671.81</v>
      </c>
    </row>
    <row r="4" spans="2:6" ht="20.25" customHeight="1" x14ac:dyDescent="0.3">
      <c r="B4" t="s">
        <v>364</v>
      </c>
    </row>
    <row r="5" spans="2:6" ht="20.25" customHeight="1" x14ac:dyDescent="0.3">
      <c r="B5" t="s">
        <v>375</v>
      </c>
      <c r="C5">
        <f>+PARTICIPATIVO!C59</f>
        <v>8615</v>
      </c>
    </row>
    <row r="6" spans="2:6" ht="20.25" customHeight="1" x14ac:dyDescent="0.3">
      <c r="B6" t="s">
        <v>425</v>
      </c>
      <c r="C6">
        <f>+PARTICIPATIVO!C62</f>
        <v>9500</v>
      </c>
    </row>
    <row r="7" spans="2:6" ht="20.25" customHeight="1" x14ac:dyDescent="0.3">
      <c r="B7" t="s">
        <v>444</v>
      </c>
      <c r="C7">
        <f>+PARTICIPATIVO!C64</f>
        <v>91419.26999999999</v>
      </c>
    </row>
    <row r="8" spans="2:6" ht="20.25" customHeight="1" x14ac:dyDescent="0.3">
      <c r="B8" t="s">
        <v>433</v>
      </c>
      <c r="C8">
        <f>+PARTICIPATIVO!C55</f>
        <v>58671.81</v>
      </c>
      <c r="E8">
        <v>0</v>
      </c>
    </row>
    <row r="9" spans="2:6" ht="20.25" customHeight="1" x14ac:dyDescent="0.3">
      <c r="B9" t="s">
        <v>443</v>
      </c>
      <c r="C9">
        <f>+PARTICIPATIVO!C63</f>
        <v>25554.93</v>
      </c>
    </row>
    <row r="10" spans="2:6" ht="20.25" customHeight="1" x14ac:dyDescent="0.3">
      <c r="B10" t="s">
        <v>445</v>
      </c>
      <c r="C10">
        <f>+PARTICIPATIVO!C74</f>
        <v>10000</v>
      </c>
    </row>
    <row r="11" spans="2:6" ht="20.25" customHeight="1" x14ac:dyDescent="0.3">
      <c r="B11" t="s">
        <v>446</v>
      </c>
      <c r="C11">
        <f>+PARTICIPATIVO!C75</f>
        <v>9000</v>
      </c>
    </row>
    <row r="12" spans="2:6" ht="20.25" customHeight="1" x14ac:dyDescent="0.3">
      <c r="B12" t="s">
        <v>447</v>
      </c>
      <c r="C12">
        <f>+PARTICIPATIVO!C76</f>
        <v>6000</v>
      </c>
    </row>
    <row r="13" spans="2:6" ht="20.25" customHeight="1" x14ac:dyDescent="0.3">
      <c r="B13" t="s">
        <v>448</v>
      </c>
      <c r="C13">
        <f>+PARTICIPATIVO!C77</f>
        <v>10726.46</v>
      </c>
    </row>
    <row r="14" spans="2:6" ht="20.25" customHeight="1" x14ac:dyDescent="0.3">
      <c r="B14" t="s">
        <v>429</v>
      </c>
      <c r="C14">
        <f>+PARTICIPATIVO!C79</f>
        <v>9000</v>
      </c>
    </row>
    <row r="15" spans="2:6" ht="20.25" customHeight="1" x14ac:dyDescent="0.3">
      <c r="B15" t="s">
        <v>361</v>
      </c>
      <c r="C15">
        <f>SUM(C3:C14)</f>
        <v>297159.27999999997</v>
      </c>
    </row>
    <row r="16" spans="2:6" ht="20.25" customHeight="1" x14ac:dyDescent="0.3">
      <c r="B16" t="s">
        <v>365</v>
      </c>
      <c r="C16">
        <v>85705.130000000019</v>
      </c>
      <c r="E16" t="s">
        <v>438</v>
      </c>
      <c r="F16" s="284">
        <f>+INGRESOS!J49</f>
        <v>295456.19</v>
      </c>
    </row>
    <row r="17" spans="2:7" ht="20.25" customHeight="1" x14ac:dyDescent="0.3">
      <c r="C17">
        <v>144376.94</v>
      </c>
      <c r="E17" t="s">
        <v>440</v>
      </c>
      <c r="F17">
        <f>+C15</f>
        <v>297159.27999999997</v>
      </c>
    </row>
    <row r="18" spans="2:7" ht="20.25" customHeight="1" x14ac:dyDescent="0.3">
      <c r="B18" t="s">
        <v>368</v>
      </c>
      <c r="C18">
        <v>210758.40000000002</v>
      </c>
      <c r="E18" t="s">
        <v>439</v>
      </c>
      <c r="F18">
        <f>+C2</f>
        <v>64306.075400000002</v>
      </c>
    </row>
    <row r="21" spans="2:7" ht="20.25" customHeight="1" x14ac:dyDescent="0.3">
      <c r="E21" t="s">
        <v>442</v>
      </c>
      <c r="F21">
        <f>+C6</f>
        <v>9500</v>
      </c>
      <c r="G21" s="285"/>
    </row>
    <row r="22" spans="2:7" ht="20.25" customHeight="1" x14ac:dyDescent="0.3">
      <c r="E22" t="s">
        <v>441</v>
      </c>
      <c r="F22">
        <f>+C5</f>
        <v>8615</v>
      </c>
      <c r="G22" s="285"/>
    </row>
  </sheetData>
  <pageMargins left="0.7" right="0.7" top="0.75" bottom="0.75" header="0.3" footer="0.3"/>
  <pageSetup paperSize="9" orientation="portrait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7" workbookViewId="0">
      <selection activeCell="G30" sqref="G30"/>
    </sheetView>
  </sheetViews>
  <sheetFormatPr baseColWidth="10" defaultRowHeight="14.4" x14ac:dyDescent="0.3"/>
  <cols>
    <col min="4" max="4" width="50.33203125" customWidth="1"/>
  </cols>
  <sheetData>
    <row r="2" spans="4:5" ht="15" thickBot="1" x14ac:dyDescent="0.35"/>
    <row r="3" spans="4:5" ht="16.2" thickBot="1" x14ac:dyDescent="0.35">
      <c r="D3" s="129" t="s">
        <v>341</v>
      </c>
      <c r="E3" s="130">
        <f>SUM(E4:E6)</f>
        <v>72316.899999999994</v>
      </c>
    </row>
    <row r="4" spans="4:5" ht="15" thickBot="1" x14ac:dyDescent="0.35">
      <c r="D4" s="131" t="s">
        <v>322</v>
      </c>
      <c r="E4" s="132">
        <v>53250</v>
      </c>
    </row>
    <row r="5" spans="4:5" ht="15" thickBot="1" x14ac:dyDescent="0.35">
      <c r="D5" s="131" t="s">
        <v>331</v>
      </c>
      <c r="E5" s="132">
        <v>13680</v>
      </c>
    </row>
    <row r="6" spans="4:5" ht="15" thickBot="1" x14ac:dyDescent="0.35">
      <c r="D6" s="131" t="s">
        <v>303</v>
      </c>
      <c r="E6" s="132">
        <v>5386.9</v>
      </c>
    </row>
    <row r="7" spans="4:5" ht="16.2" thickBot="1" x14ac:dyDescent="0.35">
      <c r="D7" s="133"/>
      <c r="E7" s="134"/>
    </row>
    <row r="8" spans="4:5" ht="16.2" thickBot="1" x14ac:dyDescent="0.35">
      <c r="D8" s="133"/>
      <c r="E8" s="135"/>
    </row>
    <row r="9" spans="4:5" ht="16.2" thickBot="1" x14ac:dyDescent="0.35">
      <c r="D9" s="136" t="s">
        <v>215</v>
      </c>
      <c r="E9" s="134">
        <f>SUM(E11:E23)</f>
        <v>95681.75</v>
      </c>
    </row>
    <row r="10" spans="4:5" ht="15" thickBot="1" x14ac:dyDescent="0.35">
      <c r="D10" s="137"/>
      <c r="E10" s="138"/>
    </row>
    <row r="11" spans="4:5" ht="29.4" thickBot="1" x14ac:dyDescent="0.35">
      <c r="D11" s="139" t="s">
        <v>301</v>
      </c>
      <c r="E11" s="140">
        <v>25000</v>
      </c>
    </row>
    <row r="12" spans="4:5" ht="15" thickBot="1" x14ac:dyDescent="0.35">
      <c r="D12" s="141" t="s">
        <v>337</v>
      </c>
      <c r="E12" s="132">
        <v>12000</v>
      </c>
    </row>
    <row r="13" spans="4:5" ht="15" thickBot="1" x14ac:dyDescent="0.35">
      <c r="D13" s="142" t="s">
        <v>323</v>
      </c>
      <c r="E13" s="132">
        <v>5000</v>
      </c>
    </row>
    <row r="14" spans="4:5" ht="15" thickBot="1" x14ac:dyDescent="0.35">
      <c r="D14" s="142" t="s">
        <v>330</v>
      </c>
      <c r="E14" s="132">
        <v>3000</v>
      </c>
    </row>
    <row r="15" spans="4:5" ht="15" thickBot="1" x14ac:dyDescent="0.35">
      <c r="D15" s="142" t="s">
        <v>324</v>
      </c>
      <c r="E15" s="132">
        <v>5000</v>
      </c>
    </row>
    <row r="16" spans="4:5" ht="29.4" thickBot="1" x14ac:dyDescent="0.35">
      <c r="D16" s="143" t="s">
        <v>325</v>
      </c>
      <c r="E16" s="144">
        <v>4000</v>
      </c>
    </row>
    <row r="17" spans="4:5" ht="15" thickBot="1" x14ac:dyDescent="0.35">
      <c r="D17" s="143" t="s">
        <v>326</v>
      </c>
      <c r="E17" s="144">
        <v>7000</v>
      </c>
    </row>
    <row r="18" spans="4:5" ht="15" thickBot="1" x14ac:dyDescent="0.35">
      <c r="D18" s="131" t="s">
        <v>327</v>
      </c>
      <c r="E18" s="145">
        <v>9430</v>
      </c>
    </row>
    <row r="19" spans="4:5" ht="15" thickBot="1" x14ac:dyDescent="0.35">
      <c r="D19" s="131" t="s">
        <v>328</v>
      </c>
      <c r="E19" s="144">
        <v>8000</v>
      </c>
    </row>
    <row r="20" spans="4:5" ht="29.4" thickBot="1" x14ac:dyDescent="0.35">
      <c r="D20" s="143" t="s">
        <v>329</v>
      </c>
      <c r="E20" s="132">
        <v>11000</v>
      </c>
    </row>
    <row r="21" spans="4:5" ht="29.4" thickBot="1" x14ac:dyDescent="0.35">
      <c r="D21" s="143" t="s">
        <v>333</v>
      </c>
      <c r="E21" s="132">
        <v>5751.75</v>
      </c>
    </row>
    <row r="22" spans="4:5" ht="15" thickBot="1" x14ac:dyDescent="0.35">
      <c r="D22" s="143" t="s">
        <v>118</v>
      </c>
      <c r="E22" s="132">
        <v>500</v>
      </c>
    </row>
    <row r="23" spans="4:5" ht="15" thickBot="1" x14ac:dyDescent="0.35">
      <c r="D23" s="143" t="s">
        <v>338</v>
      </c>
      <c r="E23" s="146"/>
    </row>
    <row r="24" spans="4:5" ht="15" thickBot="1" x14ac:dyDescent="0.35">
      <c r="D24" s="147" t="s">
        <v>332</v>
      </c>
      <c r="E24" s="148">
        <v>142998.65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D5" sqref="D5"/>
    </sheetView>
  </sheetViews>
  <sheetFormatPr baseColWidth="10" defaultRowHeight="14.4" x14ac:dyDescent="0.3"/>
  <cols>
    <col min="2" max="2" width="78.88671875" customWidth="1"/>
    <col min="3" max="3" width="32.109375" customWidth="1"/>
  </cols>
  <sheetData>
    <row r="1" spans="1:3" ht="21" x14ac:dyDescent="0.5">
      <c r="A1" s="448" t="s">
        <v>178</v>
      </c>
      <c r="B1" s="448"/>
      <c r="C1" s="448"/>
    </row>
    <row r="2" spans="1:3" ht="21" x14ac:dyDescent="0.5">
      <c r="A2" s="448"/>
      <c r="B2" s="448"/>
      <c r="C2" s="448"/>
    </row>
    <row r="3" spans="1:3" ht="21" x14ac:dyDescent="0.5">
      <c r="A3" s="448" t="s">
        <v>393</v>
      </c>
      <c r="B3" s="448"/>
      <c r="C3" s="448"/>
    </row>
    <row r="4" spans="1:3" ht="21" x14ac:dyDescent="0.5">
      <c r="A4" s="199"/>
      <c r="B4" s="200"/>
      <c r="C4" s="201"/>
    </row>
    <row r="5" spans="1:3" ht="31.5" customHeight="1" x14ac:dyDescent="0.3">
      <c r="A5" s="202" t="s">
        <v>177</v>
      </c>
      <c r="B5" s="203" t="s">
        <v>14</v>
      </c>
      <c r="C5" s="203" t="s">
        <v>351</v>
      </c>
    </row>
    <row r="6" spans="1:3" ht="31.5" customHeight="1" x14ac:dyDescent="0.3">
      <c r="A6" s="204">
        <v>1</v>
      </c>
      <c r="B6" s="205" t="s">
        <v>13</v>
      </c>
      <c r="C6" s="206">
        <f>+C7+C11</f>
        <v>63750</v>
      </c>
    </row>
    <row r="7" spans="1:3" ht="31.5" customHeight="1" x14ac:dyDescent="0.3">
      <c r="A7" s="207">
        <v>1.8</v>
      </c>
      <c r="B7" s="208" t="s">
        <v>150</v>
      </c>
      <c r="C7" s="209">
        <f>+C8</f>
        <v>63750</v>
      </c>
    </row>
    <row r="8" spans="1:3" ht="31.5" customHeight="1" x14ac:dyDescent="0.3">
      <c r="A8" s="210" t="s">
        <v>157</v>
      </c>
      <c r="B8" s="211" t="s">
        <v>158</v>
      </c>
      <c r="C8" s="212">
        <f>+C9+C10</f>
        <v>63750</v>
      </c>
    </row>
    <row r="9" spans="1:3" ht="31.5" customHeight="1" x14ac:dyDescent="0.3">
      <c r="A9" s="213" t="s">
        <v>182</v>
      </c>
      <c r="B9" s="214" t="s">
        <v>183</v>
      </c>
      <c r="C9" s="215">
        <v>0</v>
      </c>
    </row>
    <row r="10" spans="1:3" ht="31.5" customHeight="1" x14ac:dyDescent="0.3">
      <c r="A10" s="213" t="s">
        <v>151</v>
      </c>
      <c r="B10" s="214" t="s">
        <v>152</v>
      </c>
      <c r="C10" s="215">
        <v>63750</v>
      </c>
    </row>
    <row r="11" spans="1:3" ht="31.5" customHeight="1" x14ac:dyDescent="0.3">
      <c r="A11" s="207">
        <v>1.9</v>
      </c>
      <c r="B11" s="208" t="s">
        <v>153</v>
      </c>
      <c r="C11" s="209">
        <f>+C12</f>
        <v>0</v>
      </c>
    </row>
    <row r="12" spans="1:3" ht="31.5" customHeight="1" x14ac:dyDescent="0.3">
      <c r="A12" s="210" t="s">
        <v>129</v>
      </c>
      <c r="B12" s="211" t="s">
        <v>352</v>
      </c>
      <c r="C12" s="212">
        <f>+C13</f>
        <v>0</v>
      </c>
    </row>
    <row r="13" spans="1:3" ht="31.5" customHeight="1" x14ac:dyDescent="0.3">
      <c r="A13" s="213" t="s">
        <v>130</v>
      </c>
      <c r="B13" s="214" t="s">
        <v>5</v>
      </c>
      <c r="C13" s="215">
        <v>0</v>
      </c>
    </row>
    <row r="14" spans="1:3" ht="31.5" customHeight="1" x14ac:dyDescent="0.3">
      <c r="A14" s="204">
        <v>2</v>
      </c>
      <c r="B14" s="205" t="s">
        <v>4</v>
      </c>
      <c r="C14" s="206">
        <f>C15</f>
        <v>179659.15</v>
      </c>
    </row>
    <row r="15" spans="1:3" ht="31.5" customHeight="1" x14ac:dyDescent="0.3">
      <c r="A15" s="207">
        <v>2.8</v>
      </c>
      <c r="B15" s="208" t="s">
        <v>154</v>
      </c>
      <c r="C15" s="209">
        <f>+C16+C19</f>
        <v>179659.15</v>
      </c>
    </row>
    <row r="16" spans="1:3" ht="31.5" customHeight="1" x14ac:dyDescent="0.3">
      <c r="A16" s="210" t="s">
        <v>131</v>
      </c>
      <c r="B16" s="211" t="s">
        <v>132</v>
      </c>
      <c r="C16" s="212">
        <f>SUM(C17:C18)</f>
        <v>84000</v>
      </c>
    </row>
    <row r="17" spans="1:3" ht="31.5" customHeight="1" x14ac:dyDescent="0.3">
      <c r="A17" s="213" t="s">
        <v>287</v>
      </c>
      <c r="B17" s="214" t="s">
        <v>288</v>
      </c>
      <c r="C17" s="215">
        <v>0</v>
      </c>
    </row>
    <row r="18" spans="1:3" ht="31.5" customHeight="1" x14ac:dyDescent="0.3">
      <c r="A18" s="213" t="s">
        <v>156</v>
      </c>
      <c r="B18" s="214" t="s">
        <v>353</v>
      </c>
      <c r="C18" s="215">
        <v>84000</v>
      </c>
    </row>
    <row r="19" spans="1:3" ht="31.5" customHeight="1" x14ac:dyDescent="0.3">
      <c r="A19" s="210" t="s">
        <v>133</v>
      </c>
      <c r="B19" s="211" t="s">
        <v>134</v>
      </c>
      <c r="C19" s="212">
        <f>+C20</f>
        <v>95659.15</v>
      </c>
    </row>
    <row r="20" spans="1:3" ht="31.5" customHeight="1" x14ac:dyDescent="0.3">
      <c r="A20" s="213" t="s">
        <v>155</v>
      </c>
      <c r="B20" s="214" t="s">
        <v>152</v>
      </c>
      <c r="C20" s="215">
        <v>95659.15</v>
      </c>
    </row>
    <row r="21" spans="1:3" ht="31.5" customHeight="1" x14ac:dyDescent="0.3">
      <c r="A21" s="204">
        <v>3</v>
      </c>
      <c r="B21" s="216" t="s">
        <v>3</v>
      </c>
      <c r="C21" s="217">
        <f>+C22+C27</f>
        <v>39265.32</v>
      </c>
    </row>
    <row r="22" spans="1:3" ht="31.5" customHeight="1" x14ac:dyDescent="0.3">
      <c r="A22" s="207">
        <v>3.7</v>
      </c>
      <c r="B22" s="208" t="s">
        <v>2</v>
      </c>
      <c r="C22" s="218">
        <f>C24</f>
        <v>31265.32</v>
      </c>
    </row>
    <row r="23" spans="1:3" ht="31.5" customHeight="1" x14ac:dyDescent="0.3">
      <c r="A23" s="210" t="s">
        <v>135</v>
      </c>
      <c r="B23" s="211" t="s">
        <v>1</v>
      </c>
      <c r="C23" s="219"/>
    </row>
    <row r="24" spans="1:3" ht="31.5" customHeight="1" x14ac:dyDescent="0.3">
      <c r="A24" s="210" t="s">
        <v>282</v>
      </c>
      <c r="B24" s="214" t="s">
        <v>283</v>
      </c>
      <c r="C24" s="215">
        <v>31265.32</v>
      </c>
    </row>
    <row r="25" spans="1:3" ht="31.5" customHeight="1" x14ac:dyDescent="0.3">
      <c r="A25" s="213" t="s">
        <v>277</v>
      </c>
      <c r="B25" s="214" t="s">
        <v>180</v>
      </c>
      <c r="C25" s="215"/>
    </row>
    <row r="26" spans="1:3" ht="31.5" customHeight="1" x14ac:dyDescent="0.3">
      <c r="A26" s="213" t="s">
        <v>298</v>
      </c>
      <c r="B26" s="214" t="s">
        <v>299</v>
      </c>
      <c r="C26" s="215"/>
    </row>
    <row r="27" spans="1:3" ht="31.5" customHeight="1" x14ac:dyDescent="0.3">
      <c r="A27" s="207">
        <v>3.8</v>
      </c>
      <c r="B27" s="208" t="s">
        <v>136</v>
      </c>
      <c r="C27" s="220">
        <f>+C28</f>
        <v>8000</v>
      </c>
    </row>
    <row r="28" spans="1:3" ht="31.5" customHeight="1" x14ac:dyDescent="0.3">
      <c r="A28" s="210" t="s">
        <v>137</v>
      </c>
      <c r="B28" s="211" t="s">
        <v>136</v>
      </c>
      <c r="C28" s="212">
        <f>+C29</f>
        <v>8000</v>
      </c>
    </row>
    <row r="29" spans="1:3" ht="31.5" customHeight="1" x14ac:dyDescent="0.3">
      <c r="A29" s="213" t="s">
        <v>138</v>
      </c>
      <c r="B29" s="214" t="s">
        <v>285</v>
      </c>
      <c r="C29" s="215">
        <v>8000</v>
      </c>
    </row>
    <row r="30" spans="1:3" ht="31.5" customHeight="1" x14ac:dyDescent="0.3">
      <c r="A30" s="213" t="s">
        <v>284</v>
      </c>
      <c r="B30" s="221" t="s">
        <v>286</v>
      </c>
      <c r="C30" s="222">
        <v>0</v>
      </c>
    </row>
    <row r="31" spans="1:3" ht="31.5" customHeight="1" x14ac:dyDescent="0.3">
      <c r="A31" s="223"/>
      <c r="B31" s="224" t="s">
        <v>0</v>
      </c>
      <c r="C31" s="225">
        <f>+C27+C22+C15+C11+C7</f>
        <v>282674.46999999997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11" sqref="C11"/>
    </sheetView>
  </sheetViews>
  <sheetFormatPr baseColWidth="10" defaultRowHeight="14.4" x14ac:dyDescent="0.3"/>
  <cols>
    <col min="1" max="1" width="17.109375" customWidth="1"/>
    <col min="2" max="2" width="57.5546875" customWidth="1"/>
    <col min="3" max="3" width="36.44140625" customWidth="1"/>
    <col min="4" max="8" width="11.44140625" customWidth="1"/>
    <col min="10" max="11" width="11.44140625" customWidth="1"/>
  </cols>
  <sheetData>
    <row r="1" spans="1:4" ht="17.399999999999999" x14ac:dyDescent="0.3">
      <c r="A1" s="449" t="s">
        <v>389</v>
      </c>
      <c r="B1" s="449"/>
      <c r="C1" s="449"/>
    </row>
    <row r="2" spans="1:4" ht="23.25" customHeight="1" x14ac:dyDescent="0.3">
      <c r="A2" s="174" t="s">
        <v>343</v>
      </c>
      <c r="B2" s="175" t="s">
        <v>34</v>
      </c>
      <c r="C2" s="176"/>
    </row>
    <row r="3" spans="1:4" ht="17.399999999999999" x14ac:dyDescent="0.3">
      <c r="A3" s="177"/>
      <c r="B3" s="178"/>
      <c r="C3" s="179"/>
    </row>
    <row r="4" spans="1:4" ht="17.399999999999999" x14ac:dyDescent="0.3">
      <c r="A4" s="180" t="s">
        <v>39</v>
      </c>
      <c r="B4" s="181" t="s">
        <v>40</v>
      </c>
      <c r="C4" s="182" t="s">
        <v>41</v>
      </c>
    </row>
    <row r="5" spans="1:4" ht="17.399999999999999" x14ac:dyDescent="0.3">
      <c r="A5" s="180"/>
      <c r="B5" s="181"/>
      <c r="C5" s="182"/>
    </row>
    <row r="6" spans="1:4" ht="17.399999999999999" x14ac:dyDescent="0.3">
      <c r="A6" s="183"/>
      <c r="B6" s="184" t="s">
        <v>386</v>
      </c>
      <c r="C6" s="185">
        <v>63750</v>
      </c>
    </row>
    <row r="7" spans="1:4" ht="17.399999999999999" x14ac:dyDescent="0.3">
      <c r="A7" s="180"/>
      <c r="B7" s="181"/>
      <c r="C7" s="182"/>
    </row>
    <row r="8" spans="1:4" ht="17.399999999999999" x14ac:dyDescent="0.3">
      <c r="A8" s="186" t="s">
        <v>104</v>
      </c>
      <c r="B8" s="186" t="s">
        <v>370</v>
      </c>
      <c r="C8" s="187"/>
    </row>
    <row r="9" spans="1:4" ht="69.599999999999994" x14ac:dyDescent="0.3">
      <c r="A9" s="188" t="s">
        <v>289</v>
      </c>
      <c r="B9" s="188" t="s">
        <v>394</v>
      </c>
      <c r="C9" s="185">
        <v>6043.17</v>
      </c>
    </row>
    <row r="10" spans="1:4" ht="17.399999999999999" x14ac:dyDescent="0.3">
      <c r="A10" s="186" t="s">
        <v>104</v>
      </c>
      <c r="B10" s="186" t="s">
        <v>371</v>
      </c>
      <c r="C10" s="182"/>
    </row>
    <row r="11" spans="1:4" ht="69.599999999999994" x14ac:dyDescent="0.3">
      <c r="A11" s="188" t="s">
        <v>289</v>
      </c>
      <c r="B11" s="188" t="s">
        <v>342</v>
      </c>
      <c r="C11" s="185">
        <v>10976.04</v>
      </c>
    </row>
    <row r="12" spans="1:4" ht="34.799999999999997" x14ac:dyDescent="0.3">
      <c r="A12" s="188" t="s">
        <v>289</v>
      </c>
      <c r="B12" s="188" t="s">
        <v>392</v>
      </c>
      <c r="C12" s="185">
        <v>10000</v>
      </c>
    </row>
    <row r="13" spans="1:4" ht="34.799999999999997" x14ac:dyDescent="0.3">
      <c r="A13" s="188" t="s">
        <v>289</v>
      </c>
      <c r="B13" s="188" t="s">
        <v>387</v>
      </c>
      <c r="C13" s="185">
        <v>6000</v>
      </c>
      <c r="D13" t="s">
        <v>395</v>
      </c>
    </row>
    <row r="14" spans="1:4" ht="17.399999999999999" x14ac:dyDescent="0.3">
      <c r="A14" s="189" t="s">
        <v>104</v>
      </c>
      <c r="B14" s="189" t="s">
        <v>344</v>
      </c>
      <c r="C14" s="182"/>
    </row>
    <row r="15" spans="1:4" ht="69.599999999999994" x14ac:dyDescent="0.3">
      <c r="A15" s="184" t="s">
        <v>289</v>
      </c>
      <c r="B15" s="184" t="s">
        <v>381</v>
      </c>
      <c r="C15" s="185">
        <v>4596.8999999999996</v>
      </c>
      <c r="D15" t="s">
        <v>396</v>
      </c>
    </row>
    <row r="16" spans="1:4" ht="17.399999999999999" x14ac:dyDescent="0.3">
      <c r="A16" s="189" t="s">
        <v>104</v>
      </c>
      <c r="B16" s="189" t="s">
        <v>302</v>
      </c>
      <c r="C16" s="182"/>
    </row>
    <row r="17" spans="1:4" ht="52.2" x14ac:dyDescent="0.3">
      <c r="A17" s="184" t="s">
        <v>289</v>
      </c>
      <c r="B17" s="184" t="s">
        <v>380</v>
      </c>
      <c r="C17" s="185">
        <v>49609.15</v>
      </c>
      <c r="D17" t="s">
        <v>399</v>
      </c>
    </row>
    <row r="18" spans="1:4" ht="17.399999999999999" x14ac:dyDescent="0.3">
      <c r="A18" s="189" t="s">
        <v>104</v>
      </c>
      <c r="B18" s="189" t="s">
        <v>346</v>
      </c>
      <c r="C18" s="182"/>
    </row>
    <row r="19" spans="1:4" ht="17.399999999999999" x14ac:dyDescent="0.3">
      <c r="A19" s="184" t="s">
        <v>289</v>
      </c>
      <c r="B19" s="184" t="s">
        <v>347</v>
      </c>
      <c r="C19" s="185">
        <v>109349.21</v>
      </c>
      <c r="D19" t="s">
        <v>398</v>
      </c>
    </row>
    <row r="20" spans="1:4" ht="34.799999999999997" x14ac:dyDescent="0.3">
      <c r="A20" s="186" t="s">
        <v>343</v>
      </c>
      <c r="B20" s="186" t="s">
        <v>305</v>
      </c>
      <c r="C20" s="182"/>
    </row>
    <row r="21" spans="1:4" ht="34.799999999999997" x14ac:dyDescent="0.3">
      <c r="A21" s="188" t="s">
        <v>345</v>
      </c>
      <c r="B21" s="188" t="s">
        <v>348</v>
      </c>
      <c r="C21" s="185">
        <v>8000</v>
      </c>
    </row>
    <row r="22" spans="1:4" ht="17.399999999999999" x14ac:dyDescent="0.3">
      <c r="A22" s="190" t="s">
        <v>289</v>
      </c>
      <c r="B22" s="191" t="s">
        <v>388</v>
      </c>
      <c r="C22" s="185">
        <v>1550</v>
      </c>
      <c r="D22" t="s">
        <v>397</v>
      </c>
    </row>
    <row r="23" spans="1:4" ht="17.399999999999999" x14ac:dyDescent="0.3">
      <c r="A23" s="183" t="s">
        <v>289</v>
      </c>
      <c r="B23" s="184" t="s">
        <v>384</v>
      </c>
      <c r="C23" s="185">
        <v>7000</v>
      </c>
    </row>
    <row r="24" spans="1:4" ht="17.399999999999999" x14ac:dyDescent="0.3">
      <c r="A24" s="183" t="s">
        <v>289</v>
      </c>
      <c r="B24" s="184" t="s">
        <v>390</v>
      </c>
      <c r="C24" s="185">
        <v>7000</v>
      </c>
    </row>
    <row r="25" spans="1:4" ht="34.799999999999997" x14ac:dyDescent="0.3">
      <c r="A25" s="183" t="s">
        <v>289</v>
      </c>
      <c r="B25" s="184" t="s">
        <v>391</v>
      </c>
      <c r="C25" s="185">
        <v>800</v>
      </c>
    </row>
    <row r="26" spans="1:4" ht="17.399999999999999" x14ac:dyDescent="0.3">
      <c r="A26" s="192"/>
      <c r="B26" s="197" t="s">
        <v>179</v>
      </c>
      <c r="C26" s="198">
        <f>C23+C22+C21+C19+C17+C15+C13+C11+C9+C6+C24+C25</f>
        <v>274674.47000000003</v>
      </c>
    </row>
    <row r="27" spans="1:4" ht="17.399999999999999" x14ac:dyDescent="0.3">
      <c r="A27" s="193"/>
      <c r="B27" s="193"/>
      <c r="C27" s="193"/>
    </row>
    <row r="28" spans="1:4" ht="17.399999999999999" x14ac:dyDescent="0.3">
      <c r="A28" s="193"/>
      <c r="B28" s="193"/>
      <c r="C28" s="193"/>
    </row>
    <row r="29" spans="1:4" ht="17.399999999999999" x14ac:dyDescent="0.3">
      <c r="A29" s="193"/>
      <c r="B29" s="193"/>
      <c r="C29" s="193"/>
    </row>
    <row r="30" spans="1:4" ht="17.399999999999999" x14ac:dyDescent="0.3">
      <c r="A30" s="194"/>
      <c r="B30" s="195"/>
      <c r="C30" s="196"/>
    </row>
    <row r="31" spans="1:4" ht="17.399999999999999" x14ac:dyDescent="0.3">
      <c r="A31" s="194"/>
      <c r="B31" s="195"/>
      <c r="C31" s="196"/>
    </row>
    <row r="32" spans="1:4" ht="17.399999999999999" x14ac:dyDescent="0.3">
      <c r="A32" s="194"/>
      <c r="B32" s="195"/>
      <c r="C32" s="196"/>
    </row>
  </sheetData>
  <mergeCells count="1">
    <mergeCell ref="A1:C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INGRESOS</vt:lpstr>
      <vt:lpstr>GASTOS</vt:lpstr>
      <vt:lpstr>DISTRIBUTIVO</vt:lpstr>
      <vt:lpstr>VACACIONES NO GOZADAS</vt:lpstr>
      <vt:lpstr>PARTICIPATIVO</vt:lpstr>
      <vt:lpstr>Hoja2</vt:lpstr>
      <vt:lpstr>Hoja3</vt:lpstr>
      <vt:lpstr>INGRESOS 2019</vt:lpstr>
      <vt:lpstr>GASTOS 2019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GADPrincipal</cp:lastModifiedBy>
  <cp:lastPrinted>2023-09-20T21:25:50Z</cp:lastPrinted>
  <dcterms:created xsi:type="dcterms:W3CDTF">2010-08-18T18:51:53Z</dcterms:created>
  <dcterms:modified xsi:type="dcterms:W3CDTF">2024-04-23T01:17:24Z</dcterms:modified>
</cp:coreProperties>
</file>